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E:\Lehrplankommission\Präsentation\"/>
    </mc:Choice>
  </mc:AlternateContent>
  <xr:revisionPtr revIDLastSave="0" documentId="13_ncr:1_{6D60DF35-6766-4A53-858C-24F0C844F3E4}" xr6:coauthVersionLast="46" xr6:coauthVersionMax="46" xr10:uidLastSave="{00000000-0000-0000-0000-000000000000}"/>
  <bookViews>
    <workbookView xWindow="28680" yWindow="-120" windowWidth="29040" windowHeight="15840" tabRatio="500" xr2:uid="{00000000-000D-0000-FFFF-FFFF00000000}"/>
  </bookViews>
  <sheets>
    <sheet name="Lösung Deckungsbeitrag" sheetId="1" r:id="rId1"/>
    <sheet name="Textaufgaben" sheetId="4" r:id="rId2"/>
    <sheet name="Beispiel" sheetId="2" r:id="rId3"/>
    <sheet name="Tabelle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9" i="1" l="1"/>
  <c r="J74" i="1"/>
  <c r="J73" i="1"/>
  <c r="I50" i="1"/>
  <c r="H50" i="1"/>
  <c r="I47" i="1"/>
  <c r="H47" i="1"/>
  <c r="C11" i="2"/>
  <c r="C9" i="2"/>
  <c r="C8" i="2"/>
  <c r="C7" i="2"/>
  <c r="J109" i="1"/>
  <c r="M107" i="1"/>
  <c r="M105" i="1"/>
  <c r="M103" i="1"/>
  <c r="I103" i="1"/>
  <c r="I104" i="1" s="1"/>
  <c r="I106" i="1" s="1"/>
  <c r="I108" i="1" s="1"/>
  <c r="J95" i="1"/>
  <c r="H109" i="1" s="1"/>
  <c r="I95" i="1"/>
  <c r="H107" i="1" s="1"/>
  <c r="H95" i="1"/>
  <c r="H105" i="1" s="1"/>
  <c r="G95" i="1"/>
  <c r="H103" i="1" s="1"/>
  <c r="J87" i="1"/>
  <c r="J96" i="1" s="1"/>
  <c r="I87" i="1"/>
  <c r="I96" i="1" s="1"/>
  <c r="H87" i="1"/>
  <c r="K105" i="1" s="1"/>
  <c r="G87" i="1"/>
  <c r="G96" i="1" s="1"/>
  <c r="G77" i="1"/>
  <c r="G78" i="1" s="1"/>
  <c r="M74" i="1"/>
  <c r="G64" i="1"/>
  <c r="E29" i="1"/>
  <c r="D17" i="1"/>
  <c r="C17" i="1"/>
  <c r="C34" i="1" s="1"/>
  <c r="B17" i="1"/>
  <c r="B34" i="1" s="1"/>
  <c r="D11" i="1"/>
  <c r="D12" i="1" s="1"/>
  <c r="G61" i="1" s="1"/>
  <c r="C11" i="1"/>
  <c r="C12" i="1" s="1"/>
  <c r="B11" i="1"/>
  <c r="D9" i="1"/>
  <c r="D10" i="1" s="1"/>
  <c r="G60" i="1" s="1"/>
  <c r="C9" i="1"/>
  <c r="B9" i="1"/>
  <c r="C35" i="1" l="1"/>
  <c r="C46" i="1" s="1"/>
  <c r="H51" i="1"/>
  <c r="H54" i="1" s="1"/>
  <c r="H56" i="1" s="1"/>
  <c r="M109" i="1"/>
  <c r="I51" i="1"/>
  <c r="I54" i="1" s="1"/>
  <c r="I56" i="1" s="1"/>
  <c r="B45" i="1"/>
  <c r="K103" i="1"/>
  <c r="D13" i="1"/>
  <c r="D14" i="1" s="1"/>
  <c r="G62" i="1" s="1"/>
  <c r="C10" i="1"/>
  <c r="C13" i="1" s="1"/>
  <c r="D35" i="1"/>
  <c r="D34" i="1"/>
  <c r="E34" i="1" s="1"/>
  <c r="H96" i="1"/>
  <c r="F11" i="1"/>
  <c r="K107" i="1"/>
  <c r="B12" i="1"/>
  <c r="B35" i="1"/>
  <c r="B36" i="1" s="1"/>
  <c r="C45" i="1"/>
  <c r="K109" i="1"/>
  <c r="B10" i="1"/>
  <c r="B13" i="1" s="1"/>
  <c r="C47" i="1" l="1"/>
  <c r="C36" i="1"/>
  <c r="H57" i="1"/>
  <c r="D15" i="1"/>
  <c r="G63" i="1" s="1"/>
  <c r="G65" i="1" s="1"/>
  <c r="G68" i="1" s="1"/>
  <c r="D36" i="1"/>
  <c r="D45" i="1"/>
  <c r="B15" i="1"/>
  <c r="B14" i="1"/>
  <c r="C14" i="1"/>
  <c r="C15" i="1"/>
  <c r="B46" i="1"/>
  <c r="E35" i="1"/>
  <c r="G67" i="1" l="1"/>
  <c r="H65" i="1"/>
  <c r="E36" i="1"/>
  <c r="C16" i="1"/>
  <c r="C18" i="1" s="1"/>
  <c r="D16" i="1"/>
  <c r="D18" i="1" s="1"/>
  <c r="D46" i="1"/>
  <c r="B47" i="1"/>
  <c r="D47" i="1" s="1"/>
  <c r="F15" i="1"/>
  <c r="E37" i="1" s="1"/>
  <c r="B16" i="1"/>
  <c r="B18" i="1" s="1"/>
  <c r="B19" i="1" l="1"/>
  <c r="G69" i="1"/>
  <c r="D48" i="1"/>
  <c r="D49" i="1" s="1"/>
  <c r="E38" i="1"/>
</calcChain>
</file>

<file path=xl/sharedStrings.xml><?xml version="1.0" encoding="utf-8"?>
<sst xmlns="http://schemas.openxmlformats.org/spreadsheetml/2006/main" count="191" uniqueCount="148">
  <si>
    <t>Excel Lösungen zu 1.1, 2.2,  2.3, 2.5</t>
  </si>
  <si>
    <t>Lösung zu 1.1</t>
  </si>
  <si>
    <t>VKR:</t>
  </si>
  <si>
    <t>verstellbar</t>
  </si>
  <si>
    <t>bei Absatz von Lager I, II, III, je:</t>
  </si>
  <si>
    <t>Kalkschema</t>
  </si>
  <si>
    <t>I</t>
  </si>
  <si>
    <t>II</t>
  </si>
  <si>
    <t>III</t>
  </si>
  <si>
    <t>Mek</t>
  </si>
  <si>
    <t>Mgk 10%</t>
  </si>
  <si>
    <t>Fek</t>
  </si>
  <si>
    <t>FeGk 100%</t>
  </si>
  <si>
    <t>HK</t>
  </si>
  <si>
    <t>VwGK 50 %</t>
  </si>
  <si>
    <t>VtGK 20%</t>
  </si>
  <si>
    <t>SK</t>
  </si>
  <si>
    <t>U-Erlöse</t>
  </si>
  <si>
    <t>BE</t>
  </si>
  <si>
    <t>GesamtBE</t>
  </si>
  <si>
    <t>Lösung zu 2.2</t>
  </si>
  <si>
    <t>Kugellager I, II, III und je 10.000 Stück</t>
  </si>
  <si>
    <t>Kugellager</t>
  </si>
  <si>
    <t>Fertigungsmaterial</t>
  </si>
  <si>
    <t>Fertigungs-löhne</t>
  </si>
  <si>
    <t>Anteil der variablen Gemeinkosten an den Gesamtgemeinkosten</t>
  </si>
  <si>
    <t>Listenver-kaufspreis</t>
  </si>
  <si>
    <t>TKR:</t>
  </si>
  <si>
    <t>Kalkulationsschema</t>
  </si>
  <si>
    <t>Kugellager I</t>
  </si>
  <si>
    <t>Kugellager II</t>
  </si>
  <si>
    <t>Kugellager III</t>
  </si>
  <si>
    <t>Gesamt</t>
  </si>
  <si>
    <t>UE</t>
  </si>
  <si>
    <t>KV</t>
  </si>
  <si>
    <t>DB</t>
  </si>
  <si>
    <t>KF</t>
  </si>
  <si>
    <t>Lösung zu 2.3</t>
  </si>
  <si>
    <t>Kugellager I, II, und je 10.000 Stück</t>
  </si>
  <si>
    <t>nach TKR:</t>
  </si>
  <si>
    <t>nach VKR:</t>
  </si>
  <si>
    <t>1.</t>
  </si>
  <si>
    <t>Gesamt BE</t>
  </si>
  <si>
    <t>2.</t>
  </si>
  <si>
    <t>MGK</t>
  </si>
  <si>
    <t>+ FGK</t>
  </si>
  <si>
    <t>+ VwGK</t>
  </si>
  <si>
    <t>+ VtGK</t>
  </si>
  <si>
    <t>- GK V</t>
  </si>
  <si>
    <t>= GK F</t>
  </si>
  <si>
    <t>Lösung zu 2.5</t>
  </si>
  <si>
    <t>Lösung zu 2.6</t>
  </si>
  <si>
    <t>Lösung zu 2.7</t>
  </si>
  <si>
    <t>Schema</t>
  </si>
  <si>
    <t>3.</t>
  </si>
  <si>
    <t>Gesamt BE nach VKR</t>
  </si>
  <si>
    <t>Fixe Kosten</t>
  </si>
  <si>
    <t>Keigen</t>
  </si>
  <si>
    <t>100000+x*4,8</t>
  </si>
  <si>
    <t>Verkaufs-preis / Stück</t>
  </si>
  <si>
    <t>- GK F Kugellager III</t>
  </si>
  <si>
    <t>dB Stück</t>
  </si>
  <si>
    <t>Kfremd</t>
  </si>
  <si>
    <t>x*8</t>
  </si>
  <si>
    <t>Material</t>
  </si>
  <si>
    <t>= Gesamt BE nach TKR</t>
  </si>
  <si>
    <t>= Gewinschwelle</t>
  </si>
  <si>
    <t>Löhne</t>
  </si>
  <si>
    <t>GK variabel</t>
  </si>
  <si>
    <t>dB</t>
  </si>
  <si>
    <t>Lösung zu 3.1</t>
  </si>
  <si>
    <t>IV</t>
  </si>
  <si>
    <t>Fertigungs-material</t>
  </si>
  <si>
    <t>Rangfolge absoluter dB</t>
  </si>
  <si>
    <t>Lösung zu 3.2</t>
  </si>
  <si>
    <t>absetzbare Menge im Monat Mai</t>
  </si>
  <si>
    <t>Bearbeitungszeit in Minuten / Stück</t>
  </si>
  <si>
    <t>relativer dB / Std</t>
  </si>
  <si>
    <t>Rangfolge relativer dB</t>
  </si>
  <si>
    <t>Lösung zu 3.3</t>
  </si>
  <si>
    <t>noch offener Bedarf in Stück</t>
  </si>
  <si>
    <t>benötigte Kapazität in Stunden</t>
  </si>
  <si>
    <t>noch vorhandene Kapazität in Stunden</t>
  </si>
  <si>
    <t>produzierte Menge in Stück</t>
  </si>
  <si>
    <t>DB (Stück *abs dB) in €</t>
  </si>
  <si>
    <t>nicht produzierte Stück</t>
  </si>
  <si>
    <t>entgangener DB in €</t>
  </si>
  <si>
    <t>beschränkte Kapazität</t>
  </si>
  <si>
    <t>Restkapazität</t>
  </si>
  <si>
    <t>Kugellager IV</t>
  </si>
  <si>
    <t>Die variablen Kosten des Produkts betragen 2 € pro Stück</t>
  </si>
  <si>
    <t>Unser Produkt wird im Handel für 4 € pro Stück verkauft --&gt; Umsatzerlöse</t>
  </si>
  <si>
    <t>Absatzmenge</t>
  </si>
  <si>
    <t>Umsatzerlöse</t>
  </si>
  <si>
    <t>variablen</t>
  </si>
  <si>
    <t>Stückdeckungsbeitrag</t>
  </si>
  <si>
    <t>Gesamtdeckungsbeitrag</t>
  </si>
  <si>
    <t>DBS</t>
  </si>
  <si>
    <t>Deckungsbeitragssatz</t>
  </si>
  <si>
    <t>fixe</t>
  </si>
  <si>
    <t>Betriebsergebnis</t>
  </si>
  <si>
    <t>Über den Vertrieb der Produktgruppen I und II lassen sich Gewinne erzielen. Die Produktgruppe III führt zu einem Verlust, der das Gesamtergebnis negativ beeinflusst.</t>
  </si>
  <si>
    <t>Auf Grundlage der Vollkostenrechnung könnte man zu folgenden Entscheidungen kommen:</t>
  </si>
  <si>
    <t>- die Kugellagergruppe III herauszunehmen, um das Gesamtergebnis zu verbessern, oder</t>
  </si>
  <si>
    <t xml:space="preserve">- die Kosten zu senken, oder </t>
  </si>
  <si>
    <t>- den Listenverkaufspreis zu erhöhen.</t>
  </si>
  <si>
    <t>Schülerindividuelle Darstellung, z.B.</t>
  </si>
  <si>
    <t>Stichwortliste</t>
  </si>
  <si>
    <t>Kostenarten</t>
  </si>
  <si>
    <t>Variable Kosten( Kv), mengenabhängig  und fixe Kosten( Kf), mengenunabhängig</t>
  </si>
  <si>
    <t>Ausgangspunkt</t>
  </si>
  <si>
    <t xml:space="preserve">Erzielbarer Verkaufspreis pro Stück (e) </t>
  </si>
  <si>
    <t>Berechnung</t>
  </si>
  <si>
    <t>e – kv = dB / Stück</t>
  </si>
  <si>
    <t>Erläuterung dB</t>
  </si>
  <si>
    <t>Trägt zur Deckung der Fixkosten bei</t>
  </si>
  <si>
    <t>Schlussfolgerungen</t>
  </si>
  <si>
    <t>·         dB &gt; 0 für ein Produkt oder eine Produktgruppe - positiver Beitrag zum Betriebsergebnis</t>
  </si>
  <si>
    <t>·         dB = 0 für ein Produkt oder eine Produktgruppe – kein Beitrag zur Deckung der Fixkosten, nur kurzfristig realisierbar</t>
  </si>
  <si>
    <t>·         dB 1 &gt; dB 2 für ein Produkt oder eine Produktgruppe – Vorrang des Produktes mit dB 1.</t>
  </si>
  <si>
    <t>Merknotiz:</t>
  </si>
  <si>
    <t xml:space="preserve">Zunächst sind die Ergebnisse aus der VKR und TKR unterschiedlich, da die Fixkosten von Kugellager III </t>
  </si>
  <si>
    <t xml:space="preserve"> bei der Vollkostenrechnung nicht verursachungsgerecht zugeordnet werden.  </t>
  </si>
  <si>
    <t xml:space="preserve">Somit steigt vermeintlich das BE nach der VKR bei Herausnahme von Kugellager III aus dem Sortiment </t>
  </si>
  <si>
    <t>von 35.280 € auf 42.530 €.</t>
  </si>
  <si>
    <t xml:space="preserve">Bei der Teilkostenrechnung hingegen sinkt es b ei der Herausnahme von Kugellager III von ebenfalls </t>
  </si>
  <si>
    <t xml:space="preserve">35.280€ auf 28.580 €. </t>
  </si>
  <si>
    <t xml:space="preserve">Werden jedoch in der VKR die GK Fix von Kugellager III den in der VKR verbleibenden Kugellagern I </t>
  </si>
  <si>
    <t>und II zugeordnet, so gleichen sich die Ergebnisse von TKR und VKR auf 28.580 € an.</t>
  </si>
  <si>
    <t>D.h., bei der Herausnahme von Kugellager III verschlechtert sich das Betriebsergebnis von 35.280 €</t>
  </si>
  <si>
    <r>
      <t xml:space="preserve">auf 28.580 €. </t>
    </r>
    <r>
      <rPr>
        <b/>
        <sz val="14"/>
        <color rgb="FFFF0000"/>
        <rFont val="Calibri"/>
        <family val="2"/>
      </rPr>
      <t>Empfehlung: Kugellager III im Sortiment belassen !</t>
    </r>
  </si>
  <si>
    <t>Gemeinkosten</t>
  </si>
  <si>
    <t>Kv = Einzelkosten</t>
  </si>
  <si>
    <t>--&gt; Gesamtgemeinkosten aus der Vollkostenrechnung=81720€ - 37200€ = 44520€</t>
  </si>
  <si>
    <t>Gemeinkosten variabel</t>
  </si>
  <si>
    <t>Pos.</t>
  </si>
  <si>
    <t>FM</t>
  </si>
  <si>
    <t>MGK (10%)</t>
  </si>
  <si>
    <t>MK</t>
  </si>
  <si>
    <t>FL</t>
  </si>
  <si>
    <t>FGK (100%)</t>
  </si>
  <si>
    <t>FK</t>
  </si>
  <si>
    <t>VwGK (50%)</t>
  </si>
  <si>
    <t>VtGK (20%)</t>
  </si>
  <si>
    <t>Gesamtergebnis</t>
  </si>
  <si>
    <t>Stück</t>
  </si>
  <si>
    <t>= Break-Even-Point</t>
  </si>
  <si>
    <t>überprüfbare  Stück /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</si>
</sst>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€&quot;_-;\-* #,##0.00&quot; €&quot;_-;_-* \-??&quot; €&quot;_-;_-@_-"/>
    <numFmt numFmtId="165" formatCode="#,##0.00&quot; €&quot;;[Red]\-#,##0.00&quot; €&quot;"/>
    <numFmt numFmtId="166" formatCode="#,##0.00\ &quot;€&quot;"/>
  </numFmts>
  <fonts count="19"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4"/>
      <color rgb="FFFF0000"/>
      <name val="Calibri"/>
      <family val="2"/>
    </font>
    <font>
      <b/>
      <sz val="14"/>
      <color rgb="FFFF0000"/>
      <name val="Calibri"/>
      <family val="2"/>
    </font>
    <font>
      <b/>
      <sz val="11"/>
      <name val="Calibri "/>
    </font>
    <font>
      <sz val="11"/>
      <name val="Calibri "/>
    </font>
    <font>
      <b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164" fontId="10" fillId="0" borderId="0" applyBorder="0" applyProtection="0"/>
    <xf numFmtId="9" fontId="1" fillId="0" borderId="0" applyBorder="0" applyAlignment="0" applyProtection="0"/>
  </cellStyleXfs>
  <cellXfs count="111">
    <xf numFmtId="0" fontId="0" fillId="0" borderId="0" xfId="0"/>
    <xf numFmtId="0" fontId="2" fillId="0" borderId="0" xfId="0" applyFont="1"/>
    <xf numFmtId="164" fontId="0" fillId="0" borderId="0" xfId="1" applyFont="1" applyBorder="1" applyAlignment="1" applyProtection="1"/>
    <xf numFmtId="164" fontId="0" fillId="0" borderId="0" xfId="0" applyNumberFormat="1"/>
    <xf numFmtId="0" fontId="0" fillId="0" borderId="0" xfId="0" applyFont="1"/>
    <xf numFmtId="0" fontId="3" fillId="0" borderId="0" xfId="0" applyFont="1"/>
    <xf numFmtId="164" fontId="3" fillId="0" borderId="0" xfId="1" applyFont="1" applyBorder="1" applyAlignment="1" applyProtection="1"/>
    <xf numFmtId="0" fontId="4" fillId="0" borderId="0" xfId="0" applyFont="1"/>
    <xf numFmtId="164" fontId="5" fillId="0" borderId="0" xfId="1" applyFont="1" applyBorder="1" applyAlignment="1" applyProtection="1"/>
    <xf numFmtId="0" fontId="5" fillId="0" borderId="1" xfId="0" applyFont="1" applyBorder="1"/>
    <xf numFmtId="0" fontId="3" fillId="2" borderId="1" xfId="0" applyFont="1" applyFill="1" applyBorder="1"/>
    <xf numFmtId="0" fontId="0" fillId="0" borderId="1" xfId="0" applyBorder="1"/>
    <xf numFmtId="0" fontId="5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ill="1" applyBorder="1"/>
    <xf numFmtId="164" fontId="0" fillId="0" borderId="1" xfId="1" applyFont="1" applyBorder="1" applyAlignment="1" applyProtection="1"/>
    <xf numFmtId="164" fontId="5" fillId="0" borderId="1" xfId="0" applyNumberFormat="1" applyFont="1" applyBorder="1"/>
    <xf numFmtId="164" fontId="3" fillId="0" borderId="1" xfId="1" applyFont="1" applyBorder="1" applyAlignment="1" applyProtection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0" fontId="6" fillId="0" borderId="0" xfId="0" applyFont="1"/>
    <xf numFmtId="164" fontId="3" fillId="2" borderId="1" xfId="1" applyFont="1" applyFill="1" applyBorder="1" applyAlignment="1" applyProtection="1"/>
    <xf numFmtId="164" fontId="0" fillId="2" borderId="1" xfId="1" applyFont="1" applyFill="1" applyBorder="1" applyAlignment="1" applyProtection="1"/>
    <xf numFmtId="0" fontId="3" fillId="2" borderId="1" xfId="0" applyFont="1" applyFill="1" applyBorder="1" applyAlignment="1">
      <alignment wrapText="1"/>
    </xf>
    <xf numFmtId="165" fontId="7" fillId="0" borderId="1" xfId="1" applyNumberFormat="1" applyFont="1" applyBorder="1" applyAlignment="1" applyProtection="1"/>
    <xf numFmtId="165" fontId="0" fillId="0" borderId="1" xfId="1" applyNumberFormat="1" applyFont="1" applyBorder="1" applyAlignment="1" applyProtection="1"/>
    <xf numFmtId="165" fontId="5" fillId="0" borderId="1" xfId="0" applyNumberFormat="1" applyFont="1" applyBorder="1"/>
    <xf numFmtId="0" fontId="8" fillId="0" borderId="0" xfId="0" applyFont="1" applyBorder="1"/>
    <xf numFmtId="165" fontId="0" fillId="0" borderId="1" xfId="0" applyNumberFormat="1" applyFont="1" applyBorder="1"/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164" fontId="0" fillId="0" borderId="1" xfId="0" applyNumberFormat="1" applyBorder="1"/>
    <xf numFmtId="0" fontId="0" fillId="0" borderId="1" xfId="0" applyFont="1" applyBorder="1"/>
    <xf numFmtId="164" fontId="3" fillId="0" borderId="1" xfId="0" applyNumberFormat="1" applyFont="1" applyBorder="1"/>
    <xf numFmtId="164" fontId="4" fillId="0" borderId="0" xfId="1" applyFont="1" applyBorder="1" applyAlignment="1" applyProtection="1"/>
    <xf numFmtId="0" fontId="5" fillId="0" borderId="0" xfId="0" applyFont="1"/>
    <xf numFmtId="0" fontId="0" fillId="2" borderId="1" xfId="0" applyFont="1" applyFill="1" applyBorder="1" applyAlignment="1">
      <alignment wrapText="1"/>
    </xf>
    <xf numFmtId="0" fontId="0" fillId="3" borderId="2" xfId="0" applyFont="1" applyFill="1" applyBorder="1" applyAlignment="1">
      <alignment horizontal="right"/>
    </xf>
    <xf numFmtId="0" fontId="0" fillId="2" borderId="1" xfId="0" applyFont="1" applyFill="1" applyBorder="1"/>
    <xf numFmtId="164" fontId="0" fillId="0" borderId="1" xfId="0" applyNumberFormat="1" applyFont="1" applyBorder="1"/>
    <xf numFmtId="0" fontId="3" fillId="0" borderId="1" xfId="0" applyFont="1" applyBorder="1"/>
    <xf numFmtId="0" fontId="0" fillId="0" borderId="0" xfId="0" applyFont="1" applyAlignment="1">
      <alignment horizontal="right" readingOrder="1"/>
    </xf>
    <xf numFmtId="0" fontId="4" fillId="2" borderId="1" xfId="0" applyFont="1" applyFill="1" applyBorder="1"/>
    <xf numFmtId="49" fontId="0" fillId="2" borderId="1" xfId="0" applyNumberFormat="1" applyFont="1" applyFill="1" applyBorder="1"/>
    <xf numFmtId="165" fontId="0" fillId="0" borderId="1" xfId="0" applyNumberFormat="1" applyBorder="1"/>
    <xf numFmtId="49" fontId="3" fillId="2" borderId="1" xfId="0" applyNumberFormat="1" applyFont="1" applyFill="1" applyBorder="1"/>
    <xf numFmtId="0" fontId="0" fillId="3" borderId="1" xfId="0" applyFont="1" applyFill="1" applyBorder="1"/>
    <xf numFmtId="0" fontId="0" fillId="3" borderId="0" xfId="0" applyFill="1" applyBorder="1"/>
    <xf numFmtId="49" fontId="0" fillId="2" borderId="1" xfId="0" applyNumberFormat="1" applyFont="1" applyFill="1" applyBorder="1" applyAlignment="1">
      <alignment wrapText="1"/>
    </xf>
    <xf numFmtId="165" fontId="0" fillId="3" borderId="1" xfId="0" applyNumberFormat="1" applyFill="1" applyBorder="1"/>
    <xf numFmtId="49" fontId="3" fillId="2" borderId="1" xfId="0" applyNumberFormat="1" applyFont="1" applyFill="1" applyBorder="1" applyAlignment="1">
      <alignment wrapText="1"/>
    </xf>
    <xf numFmtId="165" fontId="5" fillId="3" borderId="1" xfId="0" applyNumberFormat="1" applyFont="1" applyFill="1" applyBorder="1"/>
    <xf numFmtId="165" fontId="3" fillId="0" borderId="1" xfId="0" applyNumberFormat="1" applyFont="1" applyBorder="1"/>
    <xf numFmtId="0" fontId="6" fillId="2" borderId="3" xfId="0" applyFont="1" applyFill="1" applyBorder="1" applyAlignment="1">
      <alignment horizontal="justify" vertical="center" wrapText="1"/>
    </xf>
    <xf numFmtId="165" fontId="6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3" fontId="0" fillId="0" borderId="1" xfId="0" applyNumberFormat="1" applyBorder="1"/>
    <xf numFmtId="0" fontId="2" fillId="0" borderId="5" xfId="0" applyFont="1" applyBorder="1" applyAlignment="1">
      <alignment horizontal="center" vertical="center"/>
    </xf>
    <xf numFmtId="0" fontId="0" fillId="4" borderId="1" xfId="0" applyFill="1" applyBorder="1"/>
    <xf numFmtId="0" fontId="0" fillId="3" borderId="1" xfId="0" applyFill="1" applyBorder="1" applyAlignment="1">
      <alignment wrapText="1"/>
    </xf>
    <xf numFmtId="164" fontId="0" fillId="3" borderId="1" xfId="1" applyFont="1" applyFill="1" applyBorder="1" applyAlignment="1" applyProtection="1">
      <alignment wrapText="1"/>
    </xf>
    <xf numFmtId="3" fontId="0" fillId="3" borderId="1" xfId="0" applyNumberForma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3" fontId="0" fillId="3" borderId="6" xfId="0" applyNumberFormat="1" applyFill="1" applyBorder="1" applyAlignment="1">
      <alignment wrapText="1"/>
    </xf>
    <xf numFmtId="164" fontId="0" fillId="3" borderId="6" xfId="1" applyFont="1" applyFill="1" applyBorder="1" applyAlignment="1" applyProtection="1">
      <alignment wrapText="1"/>
    </xf>
    <xf numFmtId="164" fontId="9" fillId="0" borderId="1" xfId="1" applyFont="1" applyBorder="1" applyAlignment="1" applyProtection="1"/>
    <xf numFmtId="0" fontId="5" fillId="3" borderId="1" xfId="0" applyFont="1" applyFill="1" applyBorder="1" applyAlignment="1">
      <alignment wrapText="1"/>
    </xf>
    <xf numFmtId="1" fontId="0" fillId="3" borderId="1" xfId="0" applyNumberFormat="1" applyFill="1" applyBorder="1" applyAlignment="1">
      <alignment wrapText="1"/>
    </xf>
    <xf numFmtId="0" fontId="5" fillId="0" borderId="0" xfId="0" applyFont="1" applyBorder="1" applyAlignment="1">
      <alignment wrapText="1"/>
    </xf>
    <xf numFmtId="164" fontId="0" fillId="0" borderId="0" xfId="1" applyFont="1" applyBorder="1" applyAlignment="1" applyProtection="1">
      <alignment wrapText="1"/>
    </xf>
    <xf numFmtId="164" fontId="9" fillId="0" borderId="0" xfId="1" applyFont="1" applyBorder="1" applyAlignment="1" applyProtection="1"/>
    <xf numFmtId="0" fontId="11" fillId="0" borderId="0" xfId="0" applyFont="1"/>
    <xf numFmtId="0" fontId="12" fillId="0" borderId="0" xfId="0" applyFont="1"/>
    <xf numFmtId="9" fontId="1" fillId="0" borderId="0" xfId="2"/>
    <xf numFmtId="16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 indent="5"/>
    </xf>
    <xf numFmtId="0" fontId="13" fillId="0" borderId="8" xfId="0" applyFont="1" applyBorder="1" applyAlignment="1">
      <alignment horizontal="left" vertical="center" wrapText="1" indent="5"/>
    </xf>
    <xf numFmtId="0" fontId="15" fillId="0" borderId="0" xfId="0" applyFont="1" applyAlignment="1">
      <alignment vertical="center"/>
    </xf>
    <xf numFmtId="0" fontId="0" fillId="0" borderId="0" xfId="0" quotePrefix="1" applyFont="1"/>
    <xf numFmtId="164" fontId="0" fillId="5" borderId="1" xfId="1" applyFont="1" applyFill="1" applyBorder="1" applyAlignment="1" applyProtection="1"/>
    <xf numFmtId="165" fontId="7" fillId="5" borderId="1" xfId="1" applyNumberFormat="1" applyFont="1" applyFill="1" applyBorder="1" applyAlignment="1" applyProtection="1"/>
    <xf numFmtId="165" fontId="0" fillId="5" borderId="1" xfId="1" applyNumberFormat="1" applyFont="1" applyFill="1" applyBorder="1" applyAlignment="1" applyProtection="1"/>
    <xf numFmtId="0" fontId="17" fillId="0" borderId="1" xfId="0" applyFont="1" applyBorder="1" applyAlignment="1">
      <alignment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7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Border="1" applyAlignment="1">
      <alignment vertical="center"/>
    </xf>
    <xf numFmtId="166" fontId="17" fillId="0" borderId="0" xfId="0" applyNumberFormat="1" applyFont="1" applyAlignment="1">
      <alignment vertical="center"/>
    </xf>
    <xf numFmtId="0" fontId="16" fillId="0" borderId="0" xfId="0" applyFont="1" applyBorder="1" applyAlignment="1">
      <alignment vertical="center" wrapText="1"/>
    </xf>
    <xf numFmtId="166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" fillId="0" borderId="1" xfId="0" applyNumberFormat="1" applyFont="1" applyBorder="1"/>
    <xf numFmtId="0" fontId="16" fillId="0" borderId="0" xfId="0" applyFont="1" applyFill="1" applyBorder="1" applyAlignment="1">
      <alignment horizontal="center" vertical="center" wrapText="1"/>
    </xf>
    <xf numFmtId="166" fontId="17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vertical="center"/>
    </xf>
    <xf numFmtId="166" fontId="17" fillId="0" borderId="0" xfId="0" applyNumberFormat="1" applyFont="1" applyFill="1" applyBorder="1"/>
    <xf numFmtId="166" fontId="17" fillId="0" borderId="6" xfId="0" applyNumberFormat="1" applyFont="1" applyBorder="1" applyAlignment="1">
      <alignment vertical="center"/>
    </xf>
    <xf numFmtId="164" fontId="18" fillId="2" borderId="1" xfId="0" applyNumberFormat="1" applyFont="1" applyFill="1" applyBorder="1"/>
    <xf numFmtId="166" fontId="17" fillId="0" borderId="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16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13" xfId="0" applyFont="1" applyBorder="1" applyAlignment="1">
      <alignment horizontal="center" vertic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N112"/>
  <sheetViews>
    <sheetView tabSelected="1" topLeftCell="A88" zoomScale="130" zoomScaleNormal="130" workbookViewId="0">
      <selection activeCell="F96" sqref="F96"/>
    </sheetView>
  </sheetViews>
  <sheetFormatPr baseColWidth="10" defaultColWidth="9.140625" defaultRowHeight="15"/>
  <cols>
    <col min="1" max="1" width="28.5703125" bestFit="1" customWidth="1"/>
    <col min="2" max="2" width="13.7109375" bestFit="1" customWidth="1"/>
    <col min="3" max="3" width="12.7109375" bestFit="1" customWidth="1"/>
    <col min="4" max="4" width="13.7109375" bestFit="1" customWidth="1"/>
    <col min="5" max="5" width="16.42578125" bestFit="1" customWidth="1"/>
    <col min="6" max="6" width="12.5703125" bestFit="1" customWidth="1"/>
    <col min="7" max="7" width="24.85546875" bestFit="1" customWidth="1"/>
    <col min="8" max="8" width="14.5703125" bestFit="1" customWidth="1"/>
    <col min="9" max="9" width="17.7109375" customWidth="1"/>
    <col min="10" max="10" width="13.7109375" bestFit="1" customWidth="1"/>
    <col min="11" max="11" width="12" customWidth="1"/>
    <col min="12" max="12" width="17.7109375" customWidth="1"/>
    <col min="13" max="13" width="14.5703125" bestFit="1" customWidth="1"/>
    <col min="14" max="1025" width="10.7109375" customWidth="1"/>
  </cols>
  <sheetData>
    <row r="1" spans="1:9" ht="21">
      <c r="A1" s="1" t="s">
        <v>0</v>
      </c>
    </row>
    <row r="2" spans="1:9">
      <c r="B2" s="2"/>
      <c r="I2" s="3"/>
    </row>
    <row r="3" spans="1:9">
      <c r="A3" s="4"/>
      <c r="B3" s="2"/>
      <c r="I3" s="3"/>
    </row>
    <row r="4" spans="1:9" ht="15.75">
      <c r="A4" s="5"/>
      <c r="B4" s="6"/>
      <c r="I4" s="3"/>
    </row>
    <row r="5" spans="1:9" ht="18.75">
      <c r="A5" s="7" t="s">
        <v>1</v>
      </c>
      <c r="B5" s="8"/>
      <c r="I5" s="3"/>
    </row>
    <row r="6" spans="1:9" ht="18.75">
      <c r="A6" s="7" t="s">
        <v>2</v>
      </c>
      <c r="D6" t="s">
        <v>3</v>
      </c>
      <c r="I6" s="3"/>
    </row>
    <row r="7" spans="1:9" ht="15.75">
      <c r="A7" s="9" t="s">
        <v>4</v>
      </c>
      <c r="B7" s="9"/>
      <c r="C7" s="9"/>
      <c r="D7" s="10">
        <v>10000</v>
      </c>
      <c r="E7" s="11"/>
      <c r="F7" s="11"/>
      <c r="I7" s="3"/>
    </row>
    <row r="8" spans="1:9">
      <c r="A8" s="12" t="s">
        <v>5</v>
      </c>
      <c r="B8" s="13" t="s">
        <v>6</v>
      </c>
      <c r="C8" s="13" t="s">
        <v>7</v>
      </c>
      <c r="D8" s="13" t="s">
        <v>8</v>
      </c>
      <c r="E8" s="14"/>
      <c r="F8" s="14"/>
      <c r="I8" s="3"/>
    </row>
    <row r="9" spans="1:9" ht="15.75">
      <c r="A9" s="12" t="s">
        <v>9</v>
      </c>
      <c r="B9" s="15">
        <f>0.9*D7</f>
        <v>9000</v>
      </c>
      <c r="C9" s="15">
        <f>1.2*D7</f>
        <v>12000</v>
      </c>
      <c r="D9" s="15">
        <f>1.5*D7</f>
        <v>15000</v>
      </c>
      <c r="E9" s="11"/>
      <c r="F9" s="11"/>
      <c r="H9" s="5"/>
      <c r="I9" s="6"/>
    </row>
    <row r="10" spans="1:9" ht="15.75">
      <c r="A10" s="12" t="s">
        <v>10</v>
      </c>
      <c r="B10" s="85">
        <f>B9*10/100</f>
        <v>900</v>
      </c>
      <c r="C10" s="85">
        <f>C9*10/100</f>
        <v>1200</v>
      </c>
      <c r="D10" s="85">
        <f>D9*10/100</f>
        <v>1500</v>
      </c>
      <c r="E10" s="11"/>
      <c r="F10" s="11"/>
      <c r="H10" s="5"/>
      <c r="I10" s="5"/>
    </row>
    <row r="11" spans="1:9">
      <c r="A11" s="12" t="s">
        <v>11</v>
      </c>
      <c r="B11" s="15">
        <f>0.6*D7</f>
        <v>6000</v>
      </c>
      <c r="C11" s="15">
        <f>0.7*D7</f>
        <v>7000</v>
      </c>
      <c r="D11" s="15">
        <f>0.8*D7</f>
        <v>8000</v>
      </c>
      <c r="E11" s="9" t="s">
        <v>132</v>
      </c>
      <c r="F11" s="16">
        <f>B9+B11+C9+C11+D9+D11</f>
        <v>57000</v>
      </c>
    </row>
    <row r="12" spans="1:9">
      <c r="A12" s="12" t="s">
        <v>12</v>
      </c>
      <c r="B12" s="85">
        <f>B11*100/100</f>
        <v>6000</v>
      </c>
      <c r="C12" s="85">
        <f>C11*100/100</f>
        <v>7000</v>
      </c>
      <c r="D12" s="85">
        <f>D11*100/100</f>
        <v>8000</v>
      </c>
      <c r="E12" s="11"/>
      <c r="F12" s="11"/>
    </row>
    <row r="13" spans="1:9">
      <c r="A13" s="12" t="s">
        <v>13</v>
      </c>
      <c r="B13" s="15">
        <f>B9+B10+B11+B12</f>
        <v>21900</v>
      </c>
      <c r="C13" s="15">
        <f>C9+C10+C11+C12</f>
        <v>27200</v>
      </c>
      <c r="D13" s="15">
        <f>D9+D10+D11+D12</f>
        <v>32500</v>
      </c>
      <c r="E13" s="11"/>
      <c r="F13" s="11"/>
    </row>
    <row r="14" spans="1:9">
      <c r="A14" s="12" t="s">
        <v>14</v>
      </c>
      <c r="B14" s="85">
        <f>B13*50/100</f>
        <v>10950</v>
      </c>
      <c r="C14" s="85">
        <f>C13*50/100</f>
        <v>13600</v>
      </c>
      <c r="D14" s="85">
        <f>D13*50/100</f>
        <v>16250</v>
      </c>
      <c r="E14" s="11"/>
      <c r="F14" s="11"/>
    </row>
    <row r="15" spans="1:9">
      <c r="A15" s="12" t="s">
        <v>15</v>
      </c>
      <c r="B15" s="85">
        <f>B13*20/100</f>
        <v>4380</v>
      </c>
      <c r="C15" s="85">
        <f>C13*20/100</f>
        <v>5440</v>
      </c>
      <c r="D15" s="85">
        <f>D13*20/100</f>
        <v>6500</v>
      </c>
      <c r="E15" s="9" t="s">
        <v>131</v>
      </c>
      <c r="F15" s="16">
        <f>B10+B12+B14+B15+C10+C12+C14+C15+D10+D12+D14+D15</f>
        <v>81720</v>
      </c>
    </row>
    <row r="16" spans="1:9">
      <c r="A16" s="12" t="s">
        <v>16</v>
      </c>
      <c r="B16" s="15">
        <f>B13+B14+B15</f>
        <v>37230</v>
      </c>
      <c r="C16" s="15">
        <f>C13+C14+C15</f>
        <v>46240</v>
      </c>
      <c r="D16" s="15">
        <f>D13+D14+D15</f>
        <v>55250</v>
      </c>
      <c r="E16" s="11"/>
      <c r="F16" s="11"/>
    </row>
    <row r="17" spans="1:11">
      <c r="A17" s="12" t="s">
        <v>17</v>
      </c>
      <c r="B17" s="15">
        <f>5.8*D7</f>
        <v>58000</v>
      </c>
      <c r="C17" s="15">
        <f>6.8*D7</f>
        <v>68000</v>
      </c>
      <c r="D17" s="15">
        <f>4.8*D7</f>
        <v>48000</v>
      </c>
      <c r="E17" s="11"/>
      <c r="F17" s="11"/>
    </row>
    <row r="18" spans="1:11">
      <c r="A18" s="12" t="s">
        <v>18</v>
      </c>
      <c r="B18" s="15">
        <f>B17-B16</f>
        <v>20770</v>
      </c>
      <c r="C18" s="15">
        <f>C17-C16</f>
        <v>21760</v>
      </c>
      <c r="D18" s="66">
        <f>D17-D16</f>
        <v>-7250</v>
      </c>
      <c r="E18" s="11"/>
      <c r="F18" s="11"/>
    </row>
    <row r="19" spans="1:11" ht="15.75">
      <c r="A19" s="10" t="s">
        <v>19</v>
      </c>
      <c r="B19" s="17">
        <f>B18+C18+D18</f>
        <v>35280</v>
      </c>
      <c r="C19" s="15"/>
      <c r="D19" s="15"/>
      <c r="E19" s="11"/>
      <c r="F19" s="11"/>
    </row>
    <row r="20" spans="1:11" ht="15.75">
      <c r="A20" s="18"/>
      <c r="B20" s="6"/>
      <c r="C20" s="2"/>
      <c r="D20" s="2"/>
      <c r="E20" s="19"/>
      <c r="F20" s="19"/>
    </row>
    <row r="21" spans="1:11" ht="15.75">
      <c r="A21" s="18"/>
      <c r="B21" s="6"/>
      <c r="C21" s="2"/>
      <c r="D21" s="2"/>
      <c r="E21" s="19"/>
      <c r="F21" s="19"/>
    </row>
    <row r="22" spans="1:11" ht="15.75">
      <c r="A22" s="18"/>
      <c r="B22" s="6"/>
      <c r="C22" s="2"/>
      <c r="D22" s="2"/>
      <c r="E22" s="19"/>
      <c r="F22" s="19"/>
    </row>
    <row r="23" spans="1:11" ht="18.75">
      <c r="A23" s="20" t="s">
        <v>20</v>
      </c>
      <c r="B23" s="21"/>
      <c r="E23" s="19"/>
      <c r="F23" s="19"/>
    </row>
    <row r="24" spans="1:11" ht="21">
      <c r="A24" s="1" t="s">
        <v>21</v>
      </c>
      <c r="E24" s="19"/>
      <c r="F24" s="19"/>
    </row>
    <row r="25" spans="1:11" ht="15.75">
      <c r="A25" s="18"/>
      <c r="B25" s="6"/>
      <c r="C25" s="2"/>
      <c r="D25" s="2"/>
      <c r="E25" s="19"/>
      <c r="F25" s="19"/>
    </row>
    <row r="26" spans="1:11" ht="15.75">
      <c r="A26" s="10" t="s">
        <v>22</v>
      </c>
      <c r="B26" s="22" t="s">
        <v>6</v>
      </c>
      <c r="C26" s="23" t="s">
        <v>7</v>
      </c>
      <c r="D26" s="23" t="s">
        <v>8</v>
      </c>
      <c r="E26" s="19"/>
      <c r="F26" s="19"/>
    </row>
    <row r="27" spans="1:11" ht="15.75">
      <c r="A27" s="24" t="s">
        <v>23</v>
      </c>
      <c r="B27" s="25">
        <v>0.9</v>
      </c>
      <c r="C27" s="26">
        <v>1.2</v>
      </c>
      <c r="D27" s="26">
        <v>1.5</v>
      </c>
      <c r="E27" s="19"/>
      <c r="F27" s="19"/>
    </row>
    <row r="28" spans="1:11" ht="15.75">
      <c r="A28" s="24" t="s">
        <v>24</v>
      </c>
      <c r="B28" s="25">
        <v>0.6</v>
      </c>
      <c r="C28" s="26">
        <v>0.7</v>
      </c>
      <c r="D28" s="26">
        <v>0.8</v>
      </c>
      <c r="E28" s="19"/>
      <c r="F28" s="19"/>
    </row>
    <row r="29" spans="1:11" ht="15.75">
      <c r="A29" s="24" t="s">
        <v>134</v>
      </c>
      <c r="B29" s="86">
        <v>0.85</v>
      </c>
      <c r="C29" s="87">
        <v>1.04</v>
      </c>
      <c r="D29" s="87">
        <v>1.83</v>
      </c>
      <c r="E29" s="27">
        <f>$D$7*(B29+C29+D29)</f>
        <v>37200</v>
      </c>
      <c r="F29" s="28" t="s">
        <v>25</v>
      </c>
      <c r="K29" s="84" t="s">
        <v>133</v>
      </c>
    </row>
    <row r="30" spans="1:11" ht="15.75">
      <c r="A30" s="24" t="s">
        <v>26</v>
      </c>
      <c r="B30" s="29">
        <v>5.8</v>
      </c>
      <c r="C30" s="29">
        <v>6.8</v>
      </c>
      <c r="D30" s="29">
        <v>4.8</v>
      </c>
    </row>
    <row r="32" spans="1:11" ht="18.75">
      <c r="A32" s="7" t="s">
        <v>27</v>
      </c>
      <c r="B32" s="21"/>
    </row>
    <row r="33" spans="1:10">
      <c r="A33" s="30" t="s">
        <v>28</v>
      </c>
      <c r="B33" s="31" t="s">
        <v>29</v>
      </c>
      <c r="C33" s="12" t="s">
        <v>30</v>
      </c>
      <c r="D33" s="12" t="s">
        <v>31</v>
      </c>
      <c r="E33" s="12" t="s">
        <v>32</v>
      </c>
    </row>
    <row r="34" spans="1:10">
      <c r="A34" s="30" t="s">
        <v>33</v>
      </c>
      <c r="B34" s="15">
        <f>B17</f>
        <v>58000</v>
      </c>
      <c r="C34" s="15">
        <f>C17</f>
        <v>68000</v>
      </c>
      <c r="D34" s="15">
        <f>D17</f>
        <v>48000</v>
      </c>
      <c r="E34" s="32">
        <f>B34+C34+D34</f>
        <v>174000</v>
      </c>
    </row>
    <row r="35" spans="1:10">
      <c r="A35" s="30" t="s">
        <v>34</v>
      </c>
      <c r="B35" s="15">
        <f>B9+B11+(B29*$D$7)</f>
        <v>23500</v>
      </c>
      <c r="C35" s="15">
        <f>C9+C11+(C29*$D$7)</f>
        <v>29400</v>
      </c>
      <c r="D35" s="15">
        <f>D9+D11+(D29*$D$7)</f>
        <v>41300</v>
      </c>
      <c r="E35" s="32">
        <f>B35+C35+D35</f>
        <v>94200</v>
      </c>
    </row>
    <row r="36" spans="1:10">
      <c r="A36" s="30" t="s">
        <v>35</v>
      </c>
      <c r="B36" s="15">
        <f>B34-B35</f>
        <v>34500</v>
      </c>
      <c r="C36" s="15">
        <f>C34-C35</f>
        <v>38600</v>
      </c>
      <c r="D36" s="85">
        <f>D34-D35</f>
        <v>6700</v>
      </c>
      <c r="E36" s="32">
        <f>B36+C36+D36</f>
        <v>79800</v>
      </c>
    </row>
    <row r="37" spans="1:10">
      <c r="A37" s="30" t="s">
        <v>36</v>
      </c>
      <c r="B37" s="15"/>
      <c r="C37" s="33"/>
      <c r="D37" s="11"/>
      <c r="E37" s="32">
        <f>F15-E29</f>
        <v>44520</v>
      </c>
    </row>
    <row r="38" spans="1:10" ht="15.75">
      <c r="A38" s="10" t="s">
        <v>19</v>
      </c>
      <c r="B38" s="15"/>
      <c r="C38" s="33"/>
      <c r="D38" s="11"/>
      <c r="E38" s="34">
        <f>E36-E37</f>
        <v>35280</v>
      </c>
    </row>
    <row r="39" spans="1:10">
      <c r="A39" s="4"/>
      <c r="B39" s="2"/>
      <c r="C39" s="4"/>
    </row>
    <row r="40" spans="1:10">
      <c r="A40" s="4"/>
      <c r="B40" s="2"/>
      <c r="C40" s="4"/>
    </row>
    <row r="41" spans="1:10" ht="18.75">
      <c r="A41" s="7" t="s">
        <v>37</v>
      </c>
      <c r="B41" s="35"/>
      <c r="C41" s="4"/>
    </row>
    <row r="42" spans="1:10" s="36" customFormat="1" ht="21">
      <c r="A42" s="1" t="s">
        <v>38</v>
      </c>
      <c r="B42" s="1"/>
      <c r="C42" s="1"/>
    </row>
    <row r="43" spans="1:10" s="36" customFormat="1" ht="21">
      <c r="A43" s="1" t="s">
        <v>39</v>
      </c>
      <c r="B43" s="1"/>
      <c r="C43" s="1"/>
      <c r="F43" s="7" t="s">
        <v>40</v>
      </c>
      <c r="G43" s="21"/>
    </row>
    <row r="44" spans="1:10" ht="18.75">
      <c r="A44" s="37" t="s">
        <v>28</v>
      </c>
      <c r="B44" s="14" t="s">
        <v>29</v>
      </c>
      <c r="C44" s="14" t="s">
        <v>30</v>
      </c>
      <c r="D44" s="14" t="s">
        <v>32</v>
      </c>
      <c r="E44" s="38" t="s">
        <v>41</v>
      </c>
      <c r="F44" s="43" t="s">
        <v>135</v>
      </c>
      <c r="G44" s="43" t="s">
        <v>28</v>
      </c>
      <c r="H44" s="43" t="s">
        <v>29</v>
      </c>
      <c r="I44" s="43" t="s">
        <v>30</v>
      </c>
      <c r="J44" s="98"/>
    </row>
    <row r="45" spans="1:10" ht="18.75">
      <c r="A45" s="39" t="s">
        <v>33</v>
      </c>
      <c r="B45" s="40">
        <f>B17</f>
        <v>58000</v>
      </c>
      <c r="C45" s="40">
        <f>C17</f>
        <v>68000</v>
      </c>
      <c r="D45" s="40">
        <f>B45+C45</f>
        <v>126000</v>
      </c>
      <c r="E45" s="7"/>
      <c r="F45" s="44">
        <v>1</v>
      </c>
      <c r="G45" s="88" t="s">
        <v>136</v>
      </c>
      <c r="H45" s="89">
        <v>9000</v>
      </c>
      <c r="I45" s="90">
        <v>12000</v>
      </c>
      <c r="J45" s="99"/>
    </row>
    <row r="46" spans="1:10">
      <c r="A46" s="14" t="s">
        <v>34</v>
      </c>
      <c r="B46" s="15">
        <f>B35</f>
        <v>23500</v>
      </c>
      <c r="C46" s="40">
        <f>C35</f>
        <v>29400</v>
      </c>
      <c r="D46" s="40">
        <f>B46+C46</f>
        <v>52900</v>
      </c>
      <c r="F46" s="44">
        <v>2</v>
      </c>
      <c r="G46" s="88" t="s">
        <v>137</v>
      </c>
      <c r="H46" s="90">
        <v>900</v>
      </c>
      <c r="I46" s="90">
        <v>1200</v>
      </c>
      <c r="J46" s="99"/>
    </row>
    <row r="47" spans="1:10">
      <c r="A47" s="14" t="s">
        <v>35</v>
      </c>
      <c r="B47" s="15">
        <f>B45-B46</f>
        <v>34500</v>
      </c>
      <c r="C47" s="40">
        <f>C45-C46</f>
        <v>38600</v>
      </c>
      <c r="D47" s="40">
        <f>B47+C47</f>
        <v>73100</v>
      </c>
      <c r="F47" s="44">
        <v>3</v>
      </c>
      <c r="G47" s="91" t="s">
        <v>138</v>
      </c>
      <c r="H47" s="92">
        <f>SUM(H45:H46)</f>
        <v>9900</v>
      </c>
      <c r="I47" s="92">
        <f>SUM(I45:I46)</f>
        <v>13200</v>
      </c>
      <c r="J47" s="100"/>
    </row>
    <row r="48" spans="1:10">
      <c r="A48" s="14" t="s">
        <v>36</v>
      </c>
      <c r="B48" s="15"/>
      <c r="C48" s="33"/>
      <c r="D48" s="40">
        <f>E37</f>
        <v>44520</v>
      </c>
      <c r="F48" s="44">
        <v>4</v>
      </c>
      <c r="G48" s="88" t="s">
        <v>139</v>
      </c>
      <c r="H48" s="90">
        <v>6000</v>
      </c>
      <c r="I48" s="90">
        <v>7000</v>
      </c>
      <c r="J48" s="99"/>
    </row>
    <row r="49" spans="1:12" ht="15.75">
      <c r="A49" s="10" t="s">
        <v>42</v>
      </c>
      <c r="B49" s="17"/>
      <c r="C49" s="41"/>
      <c r="D49" s="34">
        <f>D47-D48</f>
        <v>28580</v>
      </c>
      <c r="F49" s="44">
        <v>5</v>
      </c>
      <c r="G49" s="88" t="s">
        <v>140</v>
      </c>
      <c r="H49" s="90">
        <v>6000</v>
      </c>
      <c r="I49" s="90">
        <v>7000</v>
      </c>
      <c r="J49" s="99"/>
    </row>
    <row r="50" spans="1:12">
      <c r="A50" s="19"/>
      <c r="B50" s="2"/>
      <c r="F50" s="44">
        <v>6</v>
      </c>
      <c r="G50" s="91" t="s">
        <v>141</v>
      </c>
      <c r="H50" s="92">
        <f>SUM(H48:H49)</f>
        <v>12000</v>
      </c>
      <c r="I50" s="92">
        <f>SUM(I48:I49)</f>
        <v>14000</v>
      </c>
      <c r="J50" s="100"/>
    </row>
    <row r="51" spans="1:12">
      <c r="A51" s="19"/>
      <c r="B51" s="2"/>
      <c r="F51" s="44">
        <v>7</v>
      </c>
      <c r="G51" s="91" t="s">
        <v>13</v>
      </c>
      <c r="H51" s="92">
        <f>H50+H47</f>
        <v>21900</v>
      </c>
      <c r="I51" s="92">
        <f>I50+I47</f>
        <v>27200</v>
      </c>
      <c r="J51" s="100"/>
    </row>
    <row r="52" spans="1:12">
      <c r="A52" s="19"/>
      <c r="B52" s="2"/>
      <c r="F52" s="44">
        <v>8</v>
      </c>
      <c r="G52" s="88" t="s">
        <v>142</v>
      </c>
      <c r="H52" s="93">
        <v>10950</v>
      </c>
      <c r="I52" s="90">
        <v>13600</v>
      </c>
      <c r="J52" s="99"/>
    </row>
    <row r="53" spans="1:12" ht="15.75">
      <c r="A53" s="18"/>
      <c r="B53" s="6"/>
      <c r="F53" s="44">
        <v>9</v>
      </c>
      <c r="G53" s="88" t="s">
        <v>143</v>
      </c>
      <c r="H53" s="90">
        <v>4380</v>
      </c>
      <c r="I53" s="90">
        <v>5440</v>
      </c>
      <c r="J53" s="99"/>
    </row>
    <row r="54" spans="1:12">
      <c r="F54" s="44">
        <v>12</v>
      </c>
      <c r="G54" s="91" t="s">
        <v>16</v>
      </c>
      <c r="H54" s="92">
        <f>SUM(H51:H53)</f>
        <v>37230</v>
      </c>
      <c r="I54" s="92">
        <f>SUM(I51:I53)</f>
        <v>46240</v>
      </c>
      <c r="J54" s="100"/>
    </row>
    <row r="55" spans="1:12">
      <c r="F55" s="44">
        <v>13</v>
      </c>
      <c r="G55" s="88" t="s">
        <v>93</v>
      </c>
      <c r="H55" s="90">
        <v>58000</v>
      </c>
      <c r="I55" s="90">
        <v>68000</v>
      </c>
      <c r="J55" s="101"/>
    </row>
    <row r="56" spans="1:12">
      <c r="F56" s="44">
        <v>14</v>
      </c>
      <c r="G56" s="91" t="s">
        <v>100</v>
      </c>
      <c r="H56" s="102">
        <f>H55-H54</f>
        <v>20770</v>
      </c>
      <c r="I56" s="90">
        <f>I55-I54</f>
        <v>21760</v>
      </c>
      <c r="J56" s="101"/>
    </row>
    <row r="57" spans="1:12">
      <c r="F57" s="44">
        <v>15</v>
      </c>
      <c r="G57" s="91" t="s">
        <v>144</v>
      </c>
      <c r="H57" s="104">
        <f>H56+I56</f>
        <v>42530</v>
      </c>
      <c r="I57" s="104"/>
      <c r="J57" s="104"/>
    </row>
    <row r="58" spans="1:12">
      <c r="H58" s="96"/>
      <c r="I58" s="94"/>
      <c r="J58" s="95"/>
      <c r="K58" s="95"/>
      <c r="L58" s="95"/>
    </row>
    <row r="59" spans="1:12" ht="18.75">
      <c r="E59" s="42" t="s">
        <v>43</v>
      </c>
      <c r="F59" s="43" t="s">
        <v>31</v>
      </c>
      <c r="G59" s="11"/>
    </row>
    <row r="60" spans="1:12">
      <c r="F60" s="44" t="s">
        <v>44</v>
      </c>
      <c r="G60" s="32">
        <f>D10</f>
        <v>1500</v>
      </c>
    </row>
    <row r="61" spans="1:12" ht="18.75">
      <c r="A61" s="7"/>
      <c r="B61" s="7"/>
      <c r="F61" s="44" t="s">
        <v>45</v>
      </c>
      <c r="G61" s="32">
        <f>D12</f>
        <v>8000</v>
      </c>
    </row>
    <row r="62" spans="1:12" s="36" customFormat="1" ht="21">
      <c r="A62" s="1"/>
      <c r="F62" s="44" t="s">
        <v>46</v>
      </c>
      <c r="G62" s="40">
        <f>D14</f>
        <v>16250</v>
      </c>
    </row>
    <row r="63" spans="1:12" ht="18.75">
      <c r="F63" s="44" t="s">
        <v>47</v>
      </c>
      <c r="G63" s="32">
        <f>D15</f>
        <v>6500</v>
      </c>
      <c r="H63" s="7"/>
    </row>
    <row r="64" spans="1:12">
      <c r="F64" s="44" t="s">
        <v>48</v>
      </c>
      <c r="G64" s="45">
        <f>$D$7*D29</f>
        <v>18300</v>
      </c>
    </row>
    <row r="65" spans="3:14" ht="15.75">
      <c r="F65" s="46" t="s">
        <v>49</v>
      </c>
      <c r="G65" s="34">
        <f>G60+G61+G62+G63-G64</f>
        <v>13950</v>
      </c>
      <c r="H65" s="103">
        <f>H57-G65</f>
        <v>28580</v>
      </c>
    </row>
    <row r="67" spans="3:14" ht="30">
      <c r="C67" s="48"/>
      <c r="E67" s="42" t="s">
        <v>54</v>
      </c>
      <c r="F67" s="49" t="s">
        <v>55</v>
      </c>
      <c r="G67" s="32">
        <f>H57</f>
        <v>42530</v>
      </c>
    </row>
    <row r="68" spans="3:14" ht="30">
      <c r="C68" s="2"/>
      <c r="F68" s="49" t="s">
        <v>60</v>
      </c>
      <c r="G68" s="32">
        <f>G65</f>
        <v>13950</v>
      </c>
    </row>
    <row r="69" spans="3:14" ht="47.25">
      <c r="C69" s="2"/>
      <c r="F69" s="51" t="s">
        <v>65</v>
      </c>
      <c r="G69" s="34">
        <f>G67-G68</f>
        <v>28580</v>
      </c>
    </row>
    <row r="70" spans="3:14">
      <c r="C70" s="2"/>
    </row>
    <row r="71" spans="3:14" ht="18.75">
      <c r="C71" s="8"/>
      <c r="F71" s="7" t="s">
        <v>50</v>
      </c>
      <c r="I71" s="36" t="s">
        <v>51</v>
      </c>
      <c r="L71" s="36" t="s">
        <v>52</v>
      </c>
    </row>
    <row r="72" spans="3:14">
      <c r="C72" s="8"/>
      <c r="F72" s="14" t="s">
        <v>53</v>
      </c>
      <c r="G72" s="47" t="s">
        <v>29</v>
      </c>
      <c r="I72" s="49" t="s">
        <v>56</v>
      </c>
      <c r="J72" s="32">
        <v>100000</v>
      </c>
      <c r="L72" s="49" t="s">
        <v>57</v>
      </c>
      <c r="M72" s="32" t="s">
        <v>58</v>
      </c>
    </row>
    <row r="73" spans="3:14" ht="30">
      <c r="F73" s="37" t="s">
        <v>59</v>
      </c>
      <c r="G73" s="50">
        <v>2.5</v>
      </c>
      <c r="I73" s="49" t="s">
        <v>61</v>
      </c>
      <c r="J73" s="32">
        <f>8.5-4.8</f>
        <v>3.7</v>
      </c>
      <c r="L73" s="49" t="s">
        <v>62</v>
      </c>
      <c r="M73" s="32" t="s">
        <v>63</v>
      </c>
    </row>
    <row r="74" spans="3:14" ht="31.5">
      <c r="F74" s="14" t="s">
        <v>64</v>
      </c>
      <c r="G74" s="50">
        <v>0.9</v>
      </c>
      <c r="I74" s="51" t="s">
        <v>66</v>
      </c>
      <c r="J74" s="97">
        <f>J72/J73</f>
        <v>27027.027027027027</v>
      </c>
      <c r="K74" t="s">
        <v>145</v>
      </c>
      <c r="L74" s="51" t="s">
        <v>146</v>
      </c>
      <c r="M74" s="97">
        <f>100000/3.2</f>
        <v>31250</v>
      </c>
      <c r="N74" t="s">
        <v>145</v>
      </c>
    </row>
    <row r="75" spans="3:14">
      <c r="F75" s="14" t="s">
        <v>67</v>
      </c>
      <c r="G75" s="50">
        <v>0.6</v>
      </c>
    </row>
    <row r="76" spans="3:14">
      <c r="F76" s="39" t="s">
        <v>68</v>
      </c>
      <c r="G76" s="52">
        <v>0.85</v>
      </c>
    </row>
    <row r="77" spans="3:14">
      <c r="F77" s="12" t="s">
        <v>69</v>
      </c>
      <c r="G77" s="52">
        <f>G73-G74-G75-G76</f>
        <v>0.15000000000000002</v>
      </c>
    </row>
    <row r="78" spans="3:14" ht="15.75">
      <c r="F78" s="10" t="s">
        <v>35</v>
      </c>
      <c r="G78" s="53">
        <f>G77*15000</f>
        <v>2250.0000000000005</v>
      </c>
    </row>
    <row r="80" spans="3:14" ht="18.75">
      <c r="F80" s="7" t="s">
        <v>70</v>
      </c>
    </row>
    <row r="82" spans="6:12">
      <c r="F82" s="14" t="s">
        <v>22</v>
      </c>
      <c r="G82" s="14" t="s">
        <v>6</v>
      </c>
      <c r="H82" s="14" t="s">
        <v>7</v>
      </c>
      <c r="I82" s="14" t="s">
        <v>8</v>
      </c>
      <c r="J82" s="14" t="s">
        <v>71</v>
      </c>
    </row>
    <row r="83" spans="6:12" ht="30">
      <c r="F83" s="37" t="s">
        <v>72</v>
      </c>
      <c r="G83" s="15">
        <v>0.9</v>
      </c>
      <c r="H83" s="15">
        <v>1.2</v>
      </c>
      <c r="I83" s="15">
        <v>1.5</v>
      </c>
      <c r="J83" s="15">
        <v>3.9</v>
      </c>
    </row>
    <row r="84" spans="6:12" ht="30">
      <c r="F84" s="37" t="s">
        <v>24</v>
      </c>
      <c r="G84" s="15">
        <v>0.6</v>
      </c>
      <c r="H84" s="15">
        <v>0.7</v>
      </c>
      <c r="I84" s="15">
        <v>0.8</v>
      </c>
      <c r="J84" s="15">
        <v>0.9</v>
      </c>
    </row>
    <row r="85" spans="6:12" ht="37.5">
      <c r="F85" s="54" t="s">
        <v>68</v>
      </c>
      <c r="G85" s="55">
        <v>0.85</v>
      </c>
      <c r="H85" s="55">
        <v>1.04</v>
      </c>
      <c r="I85" s="55">
        <v>1.83</v>
      </c>
      <c r="J85" s="55">
        <v>2</v>
      </c>
    </row>
    <row r="86" spans="6:12" ht="30">
      <c r="F86" s="37" t="s">
        <v>26</v>
      </c>
      <c r="G86" s="15">
        <v>5.8</v>
      </c>
      <c r="H86" s="15">
        <v>6.8</v>
      </c>
      <c r="I86" s="15">
        <v>4.8</v>
      </c>
      <c r="J86" s="15">
        <v>8.5</v>
      </c>
    </row>
    <row r="87" spans="6:12">
      <c r="F87" s="37" t="s">
        <v>69</v>
      </c>
      <c r="G87" s="15">
        <f>G86-G83-G84-G85</f>
        <v>3.4499999999999997</v>
      </c>
      <c r="H87" s="15">
        <f>H86-H83-H84-H85</f>
        <v>3.8599999999999994</v>
      </c>
      <c r="I87" s="15">
        <f>I86-I83-I84-I85</f>
        <v>0.66999999999999993</v>
      </c>
      <c r="J87" s="15">
        <f>J86-J83-J84-J85</f>
        <v>1.6999999999999997</v>
      </c>
    </row>
    <row r="88" spans="6:12" ht="30">
      <c r="F88" s="37" t="s">
        <v>73</v>
      </c>
      <c r="G88" s="56">
        <v>2</v>
      </c>
      <c r="H88" s="56">
        <v>1</v>
      </c>
      <c r="I88" s="56">
        <v>4</v>
      </c>
      <c r="J88" s="56">
        <v>3</v>
      </c>
    </row>
    <row r="90" spans="6:12" ht="18.75">
      <c r="F90" s="7" t="s">
        <v>74</v>
      </c>
    </row>
    <row r="92" spans="6:12">
      <c r="F92" s="14" t="s">
        <v>22</v>
      </c>
      <c r="G92" s="14" t="s">
        <v>6</v>
      </c>
      <c r="H92" s="14" t="s">
        <v>7</v>
      </c>
      <c r="I92" s="14" t="s">
        <v>8</v>
      </c>
      <c r="J92" s="14" t="s">
        <v>71</v>
      </c>
    </row>
    <row r="93" spans="6:12" ht="45">
      <c r="F93" s="37" t="s">
        <v>75</v>
      </c>
      <c r="G93" s="57">
        <v>2000</v>
      </c>
      <c r="H93" s="57">
        <v>3000</v>
      </c>
      <c r="I93" s="57">
        <v>5000</v>
      </c>
      <c r="J93" s="57">
        <v>4000</v>
      </c>
    </row>
    <row r="94" spans="6:12" ht="60">
      <c r="F94" s="37" t="s">
        <v>76</v>
      </c>
      <c r="G94" s="11">
        <v>1.5</v>
      </c>
      <c r="H94" s="11">
        <v>2</v>
      </c>
      <c r="I94" s="11">
        <v>0.5</v>
      </c>
      <c r="J94" s="11">
        <v>2.5</v>
      </c>
    </row>
    <row r="95" spans="6:12" ht="30">
      <c r="F95" s="37" t="s">
        <v>147</v>
      </c>
      <c r="G95" s="11">
        <f>60/G94</f>
        <v>40</v>
      </c>
      <c r="H95" s="11">
        <f>60/H94</f>
        <v>30</v>
      </c>
      <c r="I95" s="11">
        <f>60/I94</f>
        <v>120</v>
      </c>
      <c r="J95" s="11">
        <f>60/J94</f>
        <v>24</v>
      </c>
    </row>
    <row r="96" spans="6:12" ht="30">
      <c r="F96" s="37" t="s">
        <v>77</v>
      </c>
      <c r="G96" s="15">
        <f>G87*G95</f>
        <v>138</v>
      </c>
      <c r="H96" s="15">
        <f>H87*H95</f>
        <v>115.79999999999998</v>
      </c>
      <c r="I96" s="15">
        <f>I87*I95</f>
        <v>80.399999999999991</v>
      </c>
      <c r="J96" s="15">
        <f>J87*J95</f>
        <v>40.799999999999997</v>
      </c>
      <c r="L96" s="58"/>
    </row>
    <row r="97" spans="6:13" ht="30">
      <c r="F97" s="37" t="s">
        <v>78</v>
      </c>
      <c r="G97" s="56">
        <v>1</v>
      </c>
      <c r="H97" s="56">
        <v>2</v>
      </c>
      <c r="I97" s="56">
        <v>3</v>
      </c>
      <c r="J97" s="56">
        <v>4</v>
      </c>
    </row>
    <row r="99" spans="6:13" ht="18.75">
      <c r="F99" s="7" t="s">
        <v>79</v>
      </c>
    </row>
    <row r="101" spans="6:13" ht="45">
      <c r="F101" s="37"/>
      <c r="G101" s="37" t="s">
        <v>80</v>
      </c>
      <c r="H101" s="37" t="s">
        <v>81</v>
      </c>
      <c r="I101" s="37" t="s">
        <v>82</v>
      </c>
      <c r="J101" s="37" t="s">
        <v>83</v>
      </c>
      <c r="K101" s="37" t="s">
        <v>84</v>
      </c>
      <c r="L101" s="37" t="s">
        <v>85</v>
      </c>
      <c r="M101" s="37" t="s">
        <v>86</v>
      </c>
    </row>
    <row r="102" spans="6:13" ht="30">
      <c r="F102" s="37" t="s">
        <v>87</v>
      </c>
      <c r="G102" s="59"/>
      <c r="H102" s="59"/>
      <c r="I102" s="37">
        <v>300</v>
      </c>
      <c r="J102" s="60"/>
      <c r="K102" s="59"/>
      <c r="L102" s="59"/>
      <c r="M102" s="59"/>
    </row>
    <row r="103" spans="6:13">
      <c r="F103" s="37" t="s">
        <v>29</v>
      </c>
      <c r="G103" s="57">
        <v>2000</v>
      </c>
      <c r="H103" s="57">
        <f>G93/G95</f>
        <v>50</v>
      </c>
      <c r="I103" s="60">
        <f>50</f>
        <v>50</v>
      </c>
      <c r="J103" s="57">
        <v>2000</v>
      </c>
      <c r="K103" s="61">
        <f>G103*G87</f>
        <v>6899.9999999999991</v>
      </c>
      <c r="L103" s="11">
        <v>0</v>
      </c>
      <c r="M103" s="15">
        <f>L103*I70</f>
        <v>0</v>
      </c>
    </row>
    <row r="104" spans="6:13" ht="30">
      <c r="F104" s="30" t="s">
        <v>88</v>
      </c>
      <c r="G104" s="9"/>
      <c r="H104" s="9"/>
      <c r="I104" s="60">
        <f>I102-I103</f>
        <v>250</v>
      </c>
      <c r="J104" s="57"/>
      <c r="K104" s="61"/>
      <c r="L104" s="11"/>
      <c r="M104" s="15"/>
    </row>
    <row r="105" spans="6:13">
      <c r="F105" s="37" t="s">
        <v>30</v>
      </c>
      <c r="G105" s="57">
        <v>3000</v>
      </c>
      <c r="H105" s="57">
        <f>H93/H95</f>
        <v>100</v>
      </c>
      <c r="I105" s="62">
        <v>100</v>
      </c>
      <c r="J105" s="57">
        <v>3000</v>
      </c>
      <c r="K105" s="61">
        <f>G105*H87</f>
        <v>11579.999999999998</v>
      </c>
      <c r="L105" s="11">
        <v>0</v>
      </c>
      <c r="M105" s="15">
        <f>L105*G70</f>
        <v>0</v>
      </c>
    </row>
    <row r="106" spans="6:13" ht="30">
      <c r="F106" s="30" t="s">
        <v>88</v>
      </c>
      <c r="G106" s="9"/>
      <c r="H106" s="9"/>
      <c r="I106" s="60">
        <f>I104-I105</f>
        <v>150</v>
      </c>
      <c r="J106" s="57"/>
      <c r="K106" s="61"/>
      <c r="L106" s="11"/>
      <c r="M106" s="15"/>
    </row>
    <row r="107" spans="6:13">
      <c r="F107" s="63" t="s">
        <v>31</v>
      </c>
      <c r="G107" s="64">
        <v>5000</v>
      </c>
      <c r="H107" s="64">
        <f>I93/I95</f>
        <v>41.666666666666664</v>
      </c>
      <c r="I107" s="60">
        <v>42</v>
      </c>
      <c r="J107" s="57">
        <v>5000</v>
      </c>
      <c r="K107" s="65">
        <f>G107*I87</f>
        <v>3349.9999999999995</v>
      </c>
      <c r="L107" s="11">
        <v>0</v>
      </c>
      <c r="M107" s="66">
        <f>L107*H70</f>
        <v>0</v>
      </c>
    </row>
    <row r="108" spans="6:13" ht="30">
      <c r="F108" s="30" t="s">
        <v>88</v>
      </c>
      <c r="G108" s="67"/>
      <c r="H108" s="67"/>
      <c r="I108" s="68">
        <f>I106-I107</f>
        <v>108</v>
      </c>
      <c r="J108" s="57"/>
      <c r="K108" s="61"/>
      <c r="L108" s="11"/>
      <c r="M108" s="66"/>
    </row>
    <row r="109" spans="6:13" ht="30">
      <c r="F109" s="37" t="s">
        <v>89</v>
      </c>
      <c r="G109" s="62">
        <v>4000</v>
      </c>
      <c r="H109" s="62">
        <f>J93/J95</f>
        <v>166.66666666666666</v>
      </c>
      <c r="I109" s="68">
        <v>0</v>
      </c>
      <c r="J109" s="57">
        <f>108*24</f>
        <v>2592</v>
      </c>
      <c r="K109" s="61">
        <f>J109*J87</f>
        <v>4406.3999999999996</v>
      </c>
      <c r="L109" s="57">
        <f>G109-J109</f>
        <v>1408</v>
      </c>
      <c r="M109" s="66">
        <f>L109*J87</f>
        <v>2393.5999999999995</v>
      </c>
    </row>
    <row r="110" spans="6:13">
      <c r="F110" s="69"/>
      <c r="G110" s="69"/>
      <c r="H110" s="69"/>
      <c r="I110" s="69"/>
      <c r="J110" s="70"/>
      <c r="K110" s="19"/>
      <c r="L110" s="71"/>
    </row>
    <row r="111" spans="6:13">
      <c r="F111" s="69"/>
      <c r="G111" s="69"/>
      <c r="H111" s="69"/>
      <c r="I111" s="69"/>
      <c r="J111" s="70"/>
      <c r="K111" s="19"/>
      <c r="L111" s="71"/>
    </row>
    <row r="112" spans="6:13">
      <c r="F112" s="69"/>
      <c r="G112" s="69"/>
      <c r="H112" s="69"/>
      <c r="I112" s="69"/>
      <c r="J112" s="70"/>
      <c r="K112" s="19"/>
      <c r="L112" s="71"/>
    </row>
  </sheetData>
  <mergeCells count="1">
    <mergeCell ref="H57:J57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61F2-A0DD-4415-A429-1B83A422930F}">
  <sheetPr codeName="Tabelle2"/>
  <dimension ref="A1:B31"/>
  <sheetViews>
    <sheetView topLeftCell="A13" workbookViewId="0">
      <selection activeCell="A21" sqref="A21:A31"/>
    </sheetView>
  </sheetViews>
  <sheetFormatPr baseColWidth="10" defaultRowHeight="15"/>
  <cols>
    <col min="1" max="2" width="30.7109375" customWidth="1"/>
  </cols>
  <sheetData>
    <row r="1" spans="1:2">
      <c r="A1" s="75">
        <v>44228</v>
      </c>
    </row>
    <row r="2" spans="1:2">
      <c r="A2" s="76" t="s">
        <v>101</v>
      </c>
    </row>
    <row r="3" spans="1:2">
      <c r="A3" s="76"/>
    </row>
    <row r="4" spans="1:2">
      <c r="A4" s="76" t="s">
        <v>102</v>
      </c>
    </row>
    <row r="5" spans="1:2">
      <c r="A5" s="76"/>
    </row>
    <row r="6" spans="1:2">
      <c r="A6" s="76" t="s">
        <v>103</v>
      </c>
    </row>
    <row r="7" spans="1:2">
      <c r="A7" s="76" t="s">
        <v>104</v>
      </c>
    </row>
    <row r="8" spans="1:2">
      <c r="A8" s="76" t="s">
        <v>105</v>
      </c>
    </row>
    <row r="10" spans="1:2">
      <c r="A10" s="108">
        <v>44198</v>
      </c>
      <c r="B10" s="108"/>
    </row>
    <row r="11" spans="1:2">
      <c r="A11" s="109" t="s">
        <v>106</v>
      </c>
      <c r="B11" s="109"/>
    </row>
    <row r="12" spans="1:2" ht="19.5" thickBot="1">
      <c r="A12" s="110" t="s">
        <v>107</v>
      </c>
      <c r="B12" s="110"/>
    </row>
    <row r="13" spans="1:2" ht="45.75" thickBot="1">
      <c r="A13" s="77" t="s">
        <v>108</v>
      </c>
      <c r="B13" s="78" t="s">
        <v>109</v>
      </c>
    </row>
    <row r="14" spans="1:2" ht="30.75" thickBot="1">
      <c r="A14" s="79" t="s">
        <v>110</v>
      </c>
      <c r="B14" s="80" t="s">
        <v>111</v>
      </c>
    </row>
    <row r="15" spans="1:2" ht="15.75" thickBot="1">
      <c r="A15" s="79" t="s">
        <v>112</v>
      </c>
      <c r="B15" s="80" t="s">
        <v>113</v>
      </c>
    </row>
    <row r="16" spans="1:2" ht="30.75" thickBot="1">
      <c r="A16" s="79" t="s">
        <v>114</v>
      </c>
      <c r="B16" s="80" t="s">
        <v>115</v>
      </c>
    </row>
    <row r="17" spans="1:2" ht="75">
      <c r="A17" s="105" t="s">
        <v>116</v>
      </c>
      <c r="B17" s="81" t="s">
        <v>117</v>
      </c>
    </row>
    <row r="18" spans="1:2" ht="90">
      <c r="A18" s="106"/>
      <c r="B18" s="81" t="s">
        <v>118</v>
      </c>
    </row>
    <row r="19" spans="1:2" ht="60.75" thickBot="1">
      <c r="A19" s="107"/>
      <c r="B19" s="82" t="s">
        <v>119</v>
      </c>
    </row>
    <row r="21" spans="1:2" ht="18.75">
      <c r="A21" s="83" t="s">
        <v>120</v>
      </c>
    </row>
    <row r="22" spans="1:2">
      <c r="A22" s="76" t="s">
        <v>121</v>
      </c>
    </row>
    <row r="23" spans="1:2">
      <c r="A23" s="76" t="s">
        <v>122</v>
      </c>
    </row>
    <row r="24" spans="1:2">
      <c r="A24" s="76" t="s">
        <v>123</v>
      </c>
    </row>
    <row r="25" spans="1:2">
      <c r="A25" s="76" t="s">
        <v>124</v>
      </c>
    </row>
    <row r="26" spans="1:2">
      <c r="A26" s="76" t="s">
        <v>125</v>
      </c>
    </row>
    <row r="27" spans="1:2">
      <c r="A27" s="76" t="s">
        <v>126</v>
      </c>
    </row>
    <row r="28" spans="1:2">
      <c r="A28" s="76" t="s">
        <v>127</v>
      </c>
    </row>
    <row r="29" spans="1:2">
      <c r="A29" s="76" t="s">
        <v>128</v>
      </c>
    </row>
    <row r="30" spans="1:2">
      <c r="A30" s="76" t="s">
        <v>129</v>
      </c>
    </row>
    <row r="31" spans="1:2" ht="18.75">
      <c r="A31" s="76" t="s">
        <v>130</v>
      </c>
    </row>
  </sheetData>
  <mergeCells count="4">
    <mergeCell ref="A17:A19"/>
    <mergeCell ref="A10:B10"/>
    <mergeCell ref="A11:B11"/>
    <mergeCell ref="A12:B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E24"/>
  <sheetViews>
    <sheetView zoomScaleNormal="100" workbookViewId="0">
      <selection activeCell="C11" sqref="C11"/>
    </sheetView>
  </sheetViews>
  <sheetFormatPr baseColWidth="10" defaultColWidth="9.140625" defaultRowHeight="15"/>
  <cols>
    <col min="1" max="1025" width="10.7109375" customWidth="1"/>
  </cols>
  <sheetData>
    <row r="1" spans="1:5" ht="21">
      <c r="A1" s="73" t="s">
        <v>91</v>
      </c>
      <c r="B1" s="73"/>
      <c r="C1" s="73"/>
      <c r="D1" s="73"/>
      <c r="E1" s="73"/>
    </row>
    <row r="2" spans="1:5" ht="21">
      <c r="A2" s="73" t="s">
        <v>90</v>
      </c>
      <c r="B2" s="73"/>
      <c r="C2" s="73"/>
      <c r="D2" s="73"/>
      <c r="E2" s="73"/>
    </row>
    <row r="3" spans="1:5" ht="21">
      <c r="A3" s="73" t="s">
        <v>92</v>
      </c>
      <c r="B3" s="73"/>
      <c r="C3" s="73">
        <v>200</v>
      </c>
      <c r="D3" s="73"/>
      <c r="E3" s="73"/>
    </row>
    <row r="4" spans="1:5" s="72" customFormat="1" ht="21"/>
    <row r="5" spans="1:5" s="72" customFormat="1" ht="21">
      <c r="A5" s="72" t="s">
        <v>93</v>
      </c>
      <c r="C5" s="72">
        <v>4</v>
      </c>
    </row>
    <row r="6" spans="1:5" s="72" customFormat="1" ht="21">
      <c r="A6" s="72" t="s">
        <v>94</v>
      </c>
      <c r="C6" s="72">
        <v>2</v>
      </c>
    </row>
    <row r="7" spans="1:5" s="72" customFormat="1" ht="21">
      <c r="A7" s="72" t="s">
        <v>69</v>
      </c>
      <c r="C7" s="72">
        <f>C5-2</f>
        <v>2</v>
      </c>
      <c r="D7" s="72" t="s">
        <v>95</v>
      </c>
    </row>
    <row r="8" spans="1:5" s="72" customFormat="1" ht="21">
      <c r="A8" s="72" t="s">
        <v>35</v>
      </c>
      <c r="C8" s="72">
        <f>2*C3</f>
        <v>400</v>
      </c>
      <c r="D8" s="72" t="s">
        <v>96</v>
      </c>
    </row>
    <row r="9" spans="1:5" s="72" customFormat="1" ht="21">
      <c r="A9" s="72" t="s">
        <v>97</v>
      </c>
      <c r="C9" s="74">
        <f>C7/C5</f>
        <v>0.5</v>
      </c>
      <c r="D9" s="72" t="s">
        <v>98</v>
      </c>
    </row>
    <row r="10" spans="1:5" s="72" customFormat="1" ht="21">
      <c r="A10" s="72" t="s">
        <v>99</v>
      </c>
      <c r="C10" s="72">
        <v>1000</v>
      </c>
    </row>
    <row r="11" spans="1:5" s="72" customFormat="1" ht="21">
      <c r="A11" s="72" t="s">
        <v>100</v>
      </c>
      <c r="C11" s="72">
        <f>C8-C10</f>
        <v>-600</v>
      </c>
    </row>
    <row r="12" spans="1:5" s="72" customFormat="1" ht="21"/>
    <row r="13" spans="1:5" s="72" customFormat="1" ht="21"/>
    <row r="14" spans="1:5" s="72" customFormat="1" ht="21"/>
    <row r="15" spans="1:5" s="72" customFormat="1" ht="21"/>
    <row r="16" spans="1:5" s="72" customFormat="1" ht="21"/>
    <row r="17" s="72" customFormat="1" ht="21"/>
    <row r="18" s="72" customFormat="1" ht="21"/>
    <row r="19" s="72" customFormat="1" ht="21"/>
    <row r="20" s="72" customFormat="1" ht="21"/>
    <row r="21" s="72" customFormat="1" ht="21"/>
    <row r="22" s="72" customFormat="1" ht="21"/>
    <row r="23" s="72" customFormat="1" ht="21"/>
    <row r="24" s="72" customFormat="1" ht="21"/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"/>
  <sheetViews>
    <sheetView zoomScaleNormal="100" workbookViewId="0"/>
  </sheetViews>
  <sheetFormatPr baseColWidth="10" defaultColWidth="9.140625" defaultRowHeight="15"/>
  <cols>
    <col min="1" max="1025" width="10.7109375" customWidth="1"/>
  </cols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Lösung Deckungsbeitrag</vt:lpstr>
      <vt:lpstr>Textaufgaben</vt:lpstr>
      <vt:lpstr>Beispiel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Jan</cp:lastModifiedBy>
  <cp:revision>1</cp:revision>
  <cp:lastPrinted>2020-12-21T08:13:59Z</cp:lastPrinted>
  <dcterms:created xsi:type="dcterms:W3CDTF">2020-04-07T09:11:52Z</dcterms:created>
  <dcterms:modified xsi:type="dcterms:W3CDTF">2021-02-16T08:37:39Z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