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mc:AlternateContent xmlns:mc="http://schemas.openxmlformats.org/markup-compatibility/2006">
    <mc:Choice Requires="x15">
      <x15ac:absPath xmlns:x15ac="http://schemas.microsoft.com/office/spreadsheetml/2010/11/ac" url="H:\Daten\Ingo\"/>
    </mc:Choice>
  </mc:AlternateContent>
  <xr:revisionPtr revIDLastSave="0" documentId="13_ncr:1_{C90AFF85-2F0C-4E18-BEEC-AD1D11E24DB8}" xr6:coauthVersionLast="45" xr6:coauthVersionMax="45" xr10:uidLastSave="{00000000-0000-0000-0000-000000000000}"/>
  <bookViews>
    <workbookView xWindow="-120" yWindow="-120" windowWidth="29040" windowHeight="15840" tabRatio="729" xr2:uid="{00000000-000D-0000-FFFF-FFFF00000000}"/>
  </bookViews>
  <sheets>
    <sheet name="Erklärung" sheetId="56" r:id="rId1"/>
    <sheet name="GH_Gesamt" sheetId="50" r:id="rId2"/>
    <sheet name="LSt-Anm" sheetId="55" r:id="rId3"/>
    <sheet name="BN AOK" sheetId="51" r:id="rId4"/>
    <sheet name="BN BEK" sheetId="52" r:id="rId5"/>
    <sheet name="BN DAK" sheetId="54" r:id="rId6"/>
    <sheet name="BN KKH" sheetId="53" r:id="rId7"/>
    <sheet name="Start" sheetId="38" r:id="rId8"/>
    <sheet name="MA01" sheetId="48" r:id="rId9"/>
    <sheet name="MA02" sheetId="58" r:id="rId10"/>
    <sheet name="Ende" sheetId="39" r:id="rId11"/>
    <sheet name="Beitragssätze SV" sheetId="4"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 i="58" l="1"/>
  <c r="C32" i="48"/>
  <c r="B9" i="4" l="1"/>
  <c r="B10" i="4"/>
  <c r="B8" i="4"/>
  <c r="L500" i="58" l="1"/>
  <c r="L499" i="58"/>
  <c r="L498" i="58"/>
  <c r="L497" i="58"/>
  <c r="L496" i="58"/>
  <c r="L495" i="58"/>
  <c r="L494" i="58"/>
  <c r="L493" i="58"/>
  <c r="L492" i="58"/>
  <c r="L491" i="58"/>
  <c r="L490" i="58"/>
  <c r="L489" i="58"/>
  <c r="L488" i="58"/>
  <c r="L487" i="58"/>
  <c r="L486" i="58"/>
  <c r="L485" i="58"/>
  <c r="L484" i="58"/>
  <c r="L483" i="58"/>
  <c r="L482" i="58"/>
  <c r="L481" i="58"/>
  <c r="L480" i="58"/>
  <c r="L479" i="58"/>
  <c r="L478" i="58"/>
  <c r="L477" i="58"/>
  <c r="L476" i="58"/>
  <c r="L475" i="58"/>
  <c r="L474" i="58"/>
  <c r="L473" i="58"/>
  <c r="L472" i="58"/>
  <c r="L471" i="58"/>
  <c r="L470" i="58"/>
  <c r="L469" i="58"/>
  <c r="L468" i="58"/>
  <c r="L467" i="58"/>
  <c r="L466" i="58"/>
  <c r="L465" i="58"/>
  <c r="L464" i="58"/>
  <c r="L463" i="58"/>
  <c r="L462" i="58"/>
  <c r="L461" i="58"/>
  <c r="L460" i="58"/>
  <c r="L459" i="58"/>
  <c r="L458" i="58"/>
  <c r="L457" i="58"/>
  <c r="L456" i="58"/>
  <c r="L455" i="58"/>
  <c r="L454" i="58"/>
  <c r="L453" i="58"/>
  <c r="L452" i="58"/>
  <c r="L451" i="58"/>
  <c r="L450" i="58"/>
  <c r="L449" i="58"/>
  <c r="L448" i="58"/>
  <c r="L447" i="58"/>
  <c r="L446" i="58"/>
  <c r="L445" i="58"/>
  <c r="L444" i="58"/>
  <c r="L443" i="58"/>
  <c r="L442" i="58"/>
  <c r="L441" i="58"/>
  <c r="L440" i="58"/>
  <c r="L439" i="58"/>
  <c r="L438" i="58"/>
  <c r="L437" i="58"/>
  <c r="L436" i="58"/>
  <c r="L435" i="58"/>
  <c r="L434" i="58"/>
  <c r="L433" i="58"/>
  <c r="L432" i="58"/>
  <c r="L431" i="58"/>
  <c r="L430" i="58"/>
  <c r="L429" i="58"/>
  <c r="L428" i="58"/>
  <c r="L427" i="58"/>
  <c r="L426" i="58"/>
  <c r="L425" i="58"/>
  <c r="L424" i="58"/>
  <c r="L423" i="58"/>
  <c r="L422" i="58"/>
  <c r="L421" i="58"/>
  <c r="L420" i="58"/>
  <c r="L419" i="58"/>
  <c r="L418" i="58"/>
  <c r="L417" i="58"/>
  <c r="L416" i="58"/>
  <c r="L415" i="58"/>
  <c r="L414" i="58"/>
  <c r="L413" i="58"/>
  <c r="L412" i="58"/>
  <c r="L411" i="58"/>
  <c r="L410" i="58"/>
  <c r="L409" i="58"/>
  <c r="L408" i="58"/>
  <c r="L407" i="58"/>
  <c r="L406" i="58"/>
  <c r="L405" i="58"/>
  <c r="L404" i="58"/>
  <c r="L403" i="58"/>
  <c r="L402" i="58"/>
  <c r="L401" i="58"/>
  <c r="L400" i="58"/>
  <c r="L399" i="58"/>
  <c r="L398" i="58"/>
  <c r="L397" i="58"/>
  <c r="L396" i="58"/>
  <c r="L395" i="58"/>
  <c r="L394" i="58"/>
  <c r="L393" i="58"/>
  <c r="L392" i="58"/>
  <c r="L391" i="58"/>
  <c r="L390" i="58"/>
  <c r="L389" i="58"/>
  <c r="L388" i="58"/>
  <c r="L387" i="58"/>
  <c r="L386" i="58"/>
  <c r="L385" i="58"/>
  <c r="L384" i="58"/>
  <c r="L383" i="58"/>
  <c r="L382" i="58"/>
  <c r="L381" i="58"/>
  <c r="L380" i="58"/>
  <c r="L379" i="58"/>
  <c r="L378" i="58"/>
  <c r="L377" i="58"/>
  <c r="L376" i="58"/>
  <c r="L375" i="58"/>
  <c r="L374" i="58"/>
  <c r="L373" i="58"/>
  <c r="L372" i="58"/>
  <c r="L371" i="58"/>
  <c r="L370" i="58"/>
  <c r="L369" i="58"/>
  <c r="L368" i="58"/>
  <c r="L367" i="58"/>
  <c r="L366" i="58"/>
  <c r="L365" i="58"/>
  <c r="L364" i="58"/>
  <c r="L363" i="58"/>
  <c r="L362" i="58"/>
  <c r="L361" i="58"/>
  <c r="L360" i="58"/>
  <c r="L359" i="58"/>
  <c r="L358" i="58"/>
  <c r="L357" i="58"/>
  <c r="L356" i="58"/>
  <c r="L355" i="58"/>
  <c r="L354" i="58"/>
  <c r="L353" i="58"/>
  <c r="L352" i="58"/>
  <c r="L351" i="58"/>
  <c r="L350" i="58"/>
  <c r="L349" i="58"/>
  <c r="L348" i="58"/>
  <c r="L347" i="58"/>
  <c r="L346" i="58"/>
  <c r="L345" i="58"/>
  <c r="L344" i="58"/>
  <c r="L343" i="58"/>
  <c r="L342" i="58"/>
  <c r="L341" i="58"/>
  <c r="L340" i="58"/>
  <c r="L339" i="58"/>
  <c r="L338" i="58"/>
  <c r="L337" i="58"/>
  <c r="L336" i="58"/>
  <c r="L335" i="58"/>
  <c r="L334" i="58"/>
  <c r="L333" i="58"/>
  <c r="L332" i="58"/>
  <c r="L331" i="58"/>
  <c r="L330" i="58"/>
  <c r="L329" i="58"/>
  <c r="L328" i="58"/>
  <c r="L327" i="58"/>
  <c r="L326" i="58"/>
  <c r="L325" i="58"/>
  <c r="L324" i="58"/>
  <c r="L323" i="58"/>
  <c r="L322" i="58"/>
  <c r="L321" i="58"/>
  <c r="L320" i="58"/>
  <c r="L319" i="58"/>
  <c r="L318" i="58"/>
  <c r="L317" i="58"/>
  <c r="L316" i="58"/>
  <c r="L315" i="58"/>
  <c r="L314" i="58"/>
  <c r="L313" i="58"/>
  <c r="L312" i="58"/>
  <c r="L311" i="58"/>
  <c r="L310" i="58"/>
  <c r="L309" i="58"/>
  <c r="L308" i="58"/>
  <c r="L307" i="58"/>
  <c r="L306" i="58"/>
  <c r="L305" i="58"/>
  <c r="L304" i="58"/>
  <c r="L303" i="58"/>
  <c r="L302" i="58"/>
  <c r="L301" i="58"/>
  <c r="L300" i="58"/>
  <c r="L299" i="58"/>
  <c r="L298" i="58"/>
  <c r="L297" i="58"/>
  <c r="L296" i="58"/>
  <c r="L295" i="58"/>
  <c r="L294" i="58"/>
  <c r="L293" i="58"/>
  <c r="L292" i="58"/>
  <c r="L291" i="58"/>
  <c r="L290" i="58"/>
  <c r="L289" i="58"/>
  <c r="L288" i="58"/>
  <c r="L287" i="58"/>
  <c r="L286" i="58"/>
  <c r="L285" i="58"/>
  <c r="L284" i="58"/>
  <c r="L283" i="58"/>
  <c r="L282" i="58"/>
  <c r="L281" i="58"/>
  <c r="L280" i="58"/>
  <c r="L279" i="58"/>
  <c r="L278" i="58"/>
  <c r="L277" i="58"/>
  <c r="L276" i="58"/>
  <c r="L275" i="58"/>
  <c r="L274" i="58"/>
  <c r="L273" i="58"/>
  <c r="L272" i="58"/>
  <c r="L271" i="58"/>
  <c r="L270" i="58"/>
  <c r="L269" i="58"/>
  <c r="L268" i="58"/>
  <c r="L267" i="58"/>
  <c r="L266" i="58"/>
  <c r="L265" i="58"/>
  <c r="L264" i="58"/>
  <c r="L263" i="58"/>
  <c r="L262" i="58"/>
  <c r="L261" i="58"/>
  <c r="L260" i="58"/>
  <c r="L259" i="58"/>
  <c r="L258" i="58"/>
  <c r="L257" i="58"/>
  <c r="L256" i="58"/>
  <c r="L255" i="58"/>
  <c r="L254" i="58"/>
  <c r="L253" i="58"/>
  <c r="L252" i="58"/>
  <c r="L251" i="58"/>
  <c r="L250" i="58"/>
  <c r="L249" i="58"/>
  <c r="L248" i="58"/>
  <c r="L247" i="58"/>
  <c r="L246" i="58"/>
  <c r="L245" i="58"/>
  <c r="L244" i="58"/>
  <c r="L243" i="58"/>
  <c r="L242" i="58"/>
  <c r="L241" i="58"/>
  <c r="L240" i="58"/>
  <c r="L239" i="58"/>
  <c r="L238" i="58"/>
  <c r="L237" i="58"/>
  <c r="L236" i="58"/>
  <c r="L235" i="58"/>
  <c r="L234" i="58"/>
  <c r="L233" i="58"/>
  <c r="L232" i="58"/>
  <c r="L231" i="58"/>
  <c r="L230" i="58"/>
  <c r="L229" i="58"/>
  <c r="L228" i="58"/>
  <c r="L227" i="58"/>
  <c r="L226" i="58"/>
  <c r="L225" i="58"/>
  <c r="L224" i="58"/>
  <c r="L223" i="58"/>
  <c r="L222" i="58"/>
  <c r="L221" i="58"/>
  <c r="L220" i="58"/>
  <c r="L219" i="58"/>
  <c r="L218" i="58"/>
  <c r="L217" i="58"/>
  <c r="L216" i="58"/>
  <c r="L215" i="58"/>
  <c r="L214" i="58"/>
  <c r="L213" i="58"/>
  <c r="L212" i="58"/>
  <c r="L211" i="58"/>
  <c r="L210" i="58"/>
  <c r="L209" i="58"/>
  <c r="L208" i="58"/>
  <c r="L207" i="58"/>
  <c r="L206" i="58"/>
  <c r="L205" i="58"/>
  <c r="L204" i="58"/>
  <c r="L203" i="58"/>
  <c r="L202" i="58"/>
  <c r="L201" i="58"/>
  <c r="L200" i="58"/>
  <c r="L199" i="58"/>
  <c r="L198" i="58"/>
  <c r="L197" i="58"/>
  <c r="L196" i="58"/>
  <c r="L195" i="58"/>
  <c r="L194" i="58"/>
  <c r="L193" i="58"/>
  <c r="L192" i="58"/>
  <c r="L191" i="58"/>
  <c r="L190" i="58"/>
  <c r="L189" i="58"/>
  <c r="L188" i="58"/>
  <c r="L187" i="58"/>
  <c r="L186" i="58"/>
  <c r="L185" i="58"/>
  <c r="L184" i="58"/>
  <c r="L183" i="58"/>
  <c r="L182" i="58"/>
  <c r="L181" i="58"/>
  <c r="L180" i="58"/>
  <c r="L179" i="58"/>
  <c r="L178" i="58"/>
  <c r="L177" i="58"/>
  <c r="L176" i="58"/>
  <c r="L175" i="58"/>
  <c r="L174" i="58"/>
  <c r="L173" i="58"/>
  <c r="L172" i="58"/>
  <c r="L171" i="58"/>
  <c r="L170" i="58"/>
  <c r="L169" i="58"/>
  <c r="L168" i="58"/>
  <c r="L167" i="58"/>
  <c r="L166" i="58"/>
  <c r="L165" i="58"/>
  <c r="L164" i="58"/>
  <c r="L163" i="58"/>
  <c r="L162" i="58"/>
  <c r="L161" i="58"/>
  <c r="L160" i="58"/>
  <c r="L159" i="58"/>
  <c r="L158" i="58"/>
  <c r="L157" i="58"/>
  <c r="L156" i="58"/>
  <c r="L155" i="58"/>
  <c r="L154" i="58"/>
  <c r="L153" i="58"/>
  <c r="L152" i="58"/>
  <c r="L151" i="58"/>
  <c r="L150" i="58"/>
  <c r="L149" i="58"/>
  <c r="L148" i="58"/>
  <c r="L147" i="58"/>
  <c r="L146" i="58"/>
  <c r="L145" i="58"/>
  <c r="L144" i="58"/>
  <c r="L143" i="58"/>
  <c r="L142" i="58"/>
  <c r="L141" i="58"/>
  <c r="L140" i="58"/>
  <c r="L139" i="58"/>
  <c r="L138" i="58"/>
  <c r="L137" i="58"/>
  <c r="L136" i="58"/>
  <c r="L135" i="58"/>
  <c r="L134" i="58"/>
  <c r="L133" i="58"/>
  <c r="L132" i="58"/>
  <c r="L131" i="58"/>
  <c r="L130" i="58"/>
  <c r="L129" i="58"/>
  <c r="L128" i="58"/>
  <c r="L127" i="58"/>
  <c r="L126" i="58"/>
  <c r="L125" i="58"/>
  <c r="L124" i="58"/>
  <c r="L123" i="58"/>
  <c r="L122" i="58"/>
  <c r="L121" i="58"/>
  <c r="L120" i="58"/>
  <c r="L119" i="58"/>
  <c r="L118" i="58"/>
  <c r="L117" i="58"/>
  <c r="L116" i="58"/>
  <c r="L115" i="58"/>
  <c r="L114" i="58"/>
  <c r="L113" i="58"/>
  <c r="L112" i="58"/>
  <c r="L111" i="58"/>
  <c r="O110" i="58"/>
  <c r="L110" i="58"/>
  <c r="L109" i="58"/>
  <c r="L108" i="58"/>
  <c r="L107" i="58"/>
  <c r="L106" i="58"/>
  <c r="L105" i="58"/>
  <c r="L104" i="58"/>
  <c r="L103" i="58"/>
  <c r="L102" i="58"/>
  <c r="L101" i="58"/>
  <c r="L100" i="58"/>
  <c r="L99" i="58"/>
  <c r="L98" i="58"/>
  <c r="L97" i="58"/>
  <c r="L96" i="58"/>
  <c r="L95" i="58"/>
  <c r="L94" i="58"/>
  <c r="L93" i="58"/>
  <c r="L92" i="58"/>
  <c r="L91" i="58"/>
  <c r="L90" i="58"/>
  <c r="L89" i="58"/>
  <c r="L88" i="58"/>
  <c r="L87" i="58"/>
  <c r="L86" i="58"/>
  <c r="L85" i="58"/>
  <c r="L84" i="58"/>
  <c r="L83" i="58"/>
  <c r="L82" i="58"/>
  <c r="L81" i="58"/>
  <c r="L80" i="58"/>
  <c r="L79" i="58"/>
  <c r="L78" i="58"/>
  <c r="L77" i="58"/>
  <c r="L76" i="58"/>
  <c r="L75" i="58"/>
  <c r="O74" i="58"/>
  <c r="L74" i="58"/>
  <c r="O73" i="58"/>
  <c r="L73" i="58"/>
  <c r="O72" i="58"/>
  <c r="L72" i="58"/>
  <c r="O71" i="58"/>
  <c r="L71" i="58"/>
  <c r="O70" i="58"/>
  <c r="L70" i="58"/>
  <c r="O69" i="58"/>
  <c r="L69" i="58"/>
  <c r="L68" i="58"/>
  <c r="L67" i="58"/>
  <c r="L66" i="58"/>
  <c r="L65" i="58"/>
  <c r="L64" i="58"/>
  <c r="L63" i="58"/>
  <c r="L62" i="58"/>
  <c r="L61" i="58"/>
  <c r="L60" i="58"/>
  <c r="L59" i="58"/>
  <c r="L58" i="58"/>
  <c r="L57" i="58"/>
  <c r="L56" i="58"/>
  <c r="L55" i="58"/>
  <c r="L54" i="58"/>
  <c r="O53" i="58"/>
  <c r="L53" i="58"/>
  <c r="O52" i="58"/>
  <c r="L52" i="58"/>
  <c r="O51" i="58"/>
  <c r="L51" i="58"/>
  <c r="O50" i="58"/>
  <c r="L50" i="58"/>
  <c r="L49" i="58"/>
  <c r="L48" i="58"/>
  <c r="L47" i="58"/>
  <c r="L46" i="58"/>
  <c r="L45" i="58"/>
  <c r="L44" i="58"/>
  <c r="L43" i="58"/>
  <c r="L42" i="58"/>
  <c r="L41" i="58"/>
  <c r="O40" i="58"/>
  <c r="L40" i="58"/>
  <c r="O39" i="58"/>
  <c r="O41" i="58" s="1"/>
  <c r="L39" i="58"/>
  <c r="O38" i="58"/>
  <c r="L38" i="58"/>
  <c r="O37" i="58"/>
  <c r="L37" i="58"/>
  <c r="L36" i="58"/>
  <c r="J36" i="58"/>
  <c r="I36" i="58"/>
  <c r="C36" i="58"/>
  <c r="G36" i="58" s="1"/>
  <c r="L35" i="58"/>
  <c r="J35" i="58"/>
  <c r="L34" i="58"/>
  <c r="J34" i="58"/>
  <c r="O33" i="58"/>
  <c r="L33" i="58"/>
  <c r="J33" i="58"/>
  <c r="L32" i="58"/>
  <c r="L31" i="58"/>
  <c r="L30" i="58"/>
  <c r="L29" i="58"/>
  <c r="L28" i="58"/>
  <c r="L27" i="58"/>
  <c r="L26" i="58"/>
  <c r="L25" i="58"/>
  <c r="L24" i="58"/>
  <c r="L23" i="58"/>
  <c r="C23" i="58"/>
  <c r="H32" i="58" s="1"/>
  <c r="L22" i="58"/>
  <c r="L21" i="58"/>
  <c r="O20" i="58"/>
  <c r="L20" i="58"/>
  <c r="L19" i="58"/>
  <c r="L18" i="58"/>
  <c r="L17" i="58"/>
  <c r="L16" i="58"/>
  <c r="L15" i="58"/>
  <c r="L14" i="58"/>
  <c r="L13" i="58"/>
  <c r="L12" i="58"/>
  <c r="L11" i="58"/>
  <c r="L10" i="58"/>
  <c r="L9" i="58"/>
  <c r="L8" i="58"/>
  <c r="L7" i="58"/>
  <c r="L6" i="58"/>
  <c r="L5" i="58"/>
  <c r="B5" i="58"/>
  <c r="L4" i="58"/>
  <c r="B4" i="58"/>
  <c r="B3" i="58"/>
  <c r="D1" i="58"/>
  <c r="C1" i="58"/>
  <c r="L236" i="48"/>
  <c r="L237" i="48"/>
  <c r="L238" i="48"/>
  <c r="L239" i="48"/>
  <c r="L240" i="48"/>
  <c r="L241" i="48"/>
  <c r="L242" i="48"/>
  <c r="L243" i="48"/>
  <c r="L244" i="48"/>
  <c r="L245" i="48"/>
  <c r="L246" i="48"/>
  <c r="L247" i="48"/>
  <c r="L248" i="48"/>
  <c r="L249" i="48"/>
  <c r="L250" i="48"/>
  <c r="L251" i="48"/>
  <c r="L252" i="48"/>
  <c r="L253" i="48"/>
  <c r="L254" i="48"/>
  <c r="L255" i="48"/>
  <c r="L256" i="48"/>
  <c r="L257" i="48"/>
  <c r="L258" i="48"/>
  <c r="L259" i="48"/>
  <c r="L260" i="48"/>
  <c r="L261" i="48"/>
  <c r="L262" i="48"/>
  <c r="L263" i="48"/>
  <c r="L264" i="48"/>
  <c r="L265" i="48"/>
  <c r="L266" i="48"/>
  <c r="L267" i="48"/>
  <c r="L268" i="48"/>
  <c r="L269" i="48"/>
  <c r="L270" i="48"/>
  <c r="L271" i="48"/>
  <c r="L272" i="48"/>
  <c r="L273" i="48"/>
  <c r="L274" i="48"/>
  <c r="L275" i="48"/>
  <c r="L276" i="48"/>
  <c r="L277" i="48"/>
  <c r="L278" i="48"/>
  <c r="L279" i="48"/>
  <c r="L280" i="48"/>
  <c r="L281" i="48"/>
  <c r="L282" i="48"/>
  <c r="L283" i="48"/>
  <c r="L284" i="48"/>
  <c r="L285" i="48"/>
  <c r="L286" i="48"/>
  <c r="L287" i="48"/>
  <c r="L288" i="48"/>
  <c r="L289" i="48"/>
  <c r="L290" i="48"/>
  <c r="L291" i="48"/>
  <c r="L292" i="48"/>
  <c r="L293" i="48"/>
  <c r="L294" i="48"/>
  <c r="L295" i="48"/>
  <c r="L296" i="48"/>
  <c r="L297" i="48"/>
  <c r="L298" i="48"/>
  <c r="L299" i="48"/>
  <c r="L300" i="48"/>
  <c r="L301" i="48"/>
  <c r="L302" i="48"/>
  <c r="L303" i="48"/>
  <c r="L304" i="48"/>
  <c r="L305" i="48"/>
  <c r="L306" i="48"/>
  <c r="L307" i="48"/>
  <c r="L308" i="48"/>
  <c r="L309" i="48"/>
  <c r="L310" i="48"/>
  <c r="L311" i="48"/>
  <c r="L312" i="48"/>
  <c r="L313" i="48"/>
  <c r="L314" i="48"/>
  <c r="L315" i="48"/>
  <c r="L316" i="48"/>
  <c r="L317" i="48"/>
  <c r="L318" i="48"/>
  <c r="L319" i="48"/>
  <c r="L320" i="48"/>
  <c r="L321" i="48"/>
  <c r="L322" i="48"/>
  <c r="L323" i="48"/>
  <c r="L324" i="48"/>
  <c r="L325" i="48"/>
  <c r="L326" i="48"/>
  <c r="L327" i="48"/>
  <c r="L328" i="48"/>
  <c r="L329" i="48"/>
  <c r="L330" i="48"/>
  <c r="L331" i="48"/>
  <c r="L332" i="48"/>
  <c r="L333" i="48"/>
  <c r="L334" i="48"/>
  <c r="L335" i="48"/>
  <c r="L336" i="48"/>
  <c r="L337" i="48"/>
  <c r="L338" i="48"/>
  <c r="L339" i="48"/>
  <c r="L340" i="48"/>
  <c r="L341" i="48"/>
  <c r="L342" i="48"/>
  <c r="L343" i="48"/>
  <c r="L344" i="48"/>
  <c r="L345" i="48"/>
  <c r="L346" i="48"/>
  <c r="L347" i="48"/>
  <c r="L348" i="48"/>
  <c r="L349" i="48"/>
  <c r="L350" i="48"/>
  <c r="L351" i="48"/>
  <c r="L352" i="48"/>
  <c r="L353" i="48"/>
  <c r="L354" i="48"/>
  <c r="L355" i="48"/>
  <c r="L356" i="48"/>
  <c r="L357" i="48"/>
  <c r="L358" i="48"/>
  <c r="L359" i="48"/>
  <c r="L360" i="48"/>
  <c r="L361" i="48"/>
  <c r="L362" i="48"/>
  <c r="L363" i="48"/>
  <c r="L364" i="48"/>
  <c r="L365" i="48"/>
  <c r="L366" i="48"/>
  <c r="L367" i="48"/>
  <c r="L368" i="48"/>
  <c r="L369" i="48"/>
  <c r="L370" i="48"/>
  <c r="L371" i="48"/>
  <c r="L372" i="48"/>
  <c r="L373" i="48"/>
  <c r="L374" i="48"/>
  <c r="L375" i="48"/>
  <c r="L376" i="48"/>
  <c r="L377" i="48"/>
  <c r="L378" i="48"/>
  <c r="L379" i="48"/>
  <c r="L380" i="48"/>
  <c r="L381" i="48"/>
  <c r="L382" i="48"/>
  <c r="L383" i="48"/>
  <c r="L384" i="48"/>
  <c r="L385" i="48"/>
  <c r="L386" i="48"/>
  <c r="L387" i="48"/>
  <c r="L388" i="48"/>
  <c r="L389" i="48"/>
  <c r="L390" i="48"/>
  <c r="L391" i="48"/>
  <c r="L392" i="48"/>
  <c r="L393" i="48"/>
  <c r="L394" i="48"/>
  <c r="L395" i="48"/>
  <c r="L396" i="48"/>
  <c r="L397" i="48"/>
  <c r="L398" i="48"/>
  <c r="L399" i="48"/>
  <c r="L400" i="48"/>
  <c r="L401" i="48"/>
  <c r="L402" i="48"/>
  <c r="L403" i="48"/>
  <c r="L404" i="48"/>
  <c r="L405" i="48"/>
  <c r="L406" i="48"/>
  <c r="L407" i="48"/>
  <c r="L408" i="48"/>
  <c r="L409" i="48"/>
  <c r="L410" i="48"/>
  <c r="L411" i="48"/>
  <c r="L412" i="48"/>
  <c r="L413" i="48"/>
  <c r="L414" i="48"/>
  <c r="L415" i="48"/>
  <c r="L416" i="48"/>
  <c r="L417" i="48"/>
  <c r="L418" i="48"/>
  <c r="L419" i="48"/>
  <c r="L420" i="48"/>
  <c r="L421" i="48"/>
  <c r="L422" i="48"/>
  <c r="L423" i="48"/>
  <c r="L424" i="48"/>
  <c r="L425" i="48"/>
  <c r="L426" i="48"/>
  <c r="L427" i="48"/>
  <c r="L428" i="48"/>
  <c r="L429" i="48"/>
  <c r="L430" i="48"/>
  <c r="L431" i="48"/>
  <c r="L432" i="48"/>
  <c r="L433" i="48"/>
  <c r="L434" i="48"/>
  <c r="L435" i="48"/>
  <c r="L436" i="48"/>
  <c r="L437" i="48"/>
  <c r="L438" i="48"/>
  <c r="L439" i="48"/>
  <c r="L440" i="48"/>
  <c r="L441" i="48"/>
  <c r="L442" i="48"/>
  <c r="L443" i="48"/>
  <c r="L444" i="48"/>
  <c r="L445" i="48"/>
  <c r="L446" i="48"/>
  <c r="L447" i="48"/>
  <c r="L448" i="48"/>
  <c r="L449" i="48"/>
  <c r="L450" i="48"/>
  <c r="L451" i="48"/>
  <c r="L452" i="48"/>
  <c r="L453" i="48"/>
  <c r="L454" i="48"/>
  <c r="L455" i="48"/>
  <c r="L456" i="48"/>
  <c r="L457" i="48"/>
  <c r="L458" i="48"/>
  <c r="L459" i="48"/>
  <c r="L460" i="48"/>
  <c r="L461" i="48"/>
  <c r="L462" i="48"/>
  <c r="L463" i="48"/>
  <c r="L464" i="48"/>
  <c r="L465" i="48"/>
  <c r="L466" i="48"/>
  <c r="L467" i="48"/>
  <c r="L468" i="48"/>
  <c r="L469" i="48"/>
  <c r="L470" i="48"/>
  <c r="L471" i="48"/>
  <c r="L472" i="48"/>
  <c r="L473" i="48"/>
  <c r="L474" i="48"/>
  <c r="L475" i="48"/>
  <c r="L476" i="48"/>
  <c r="L477" i="48"/>
  <c r="L478" i="48"/>
  <c r="L479" i="48"/>
  <c r="L480" i="48"/>
  <c r="L481" i="48"/>
  <c r="L482" i="48"/>
  <c r="L483" i="48"/>
  <c r="L484" i="48"/>
  <c r="L485" i="48"/>
  <c r="L486" i="48"/>
  <c r="L487" i="48"/>
  <c r="L488" i="48"/>
  <c r="L489" i="48"/>
  <c r="L490" i="48"/>
  <c r="L491" i="48"/>
  <c r="L492" i="48"/>
  <c r="L493" i="48"/>
  <c r="L494" i="48"/>
  <c r="L495" i="48"/>
  <c r="L496" i="48"/>
  <c r="L497" i="48"/>
  <c r="L498" i="48"/>
  <c r="L499" i="48"/>
  <c r="L500" i="48"/>
  <c r="L233" i="48"/>
  <c r="L234" i="48"/>
  <c r="L235" i="48"/>
  <c r="L22" i="48"/>
  <c r="L23" i="48"/>
  <c r="L24" i="48"/>
  <c r="L25" i="48"/>
  <c r="L26" i="48"/>
  <c r="L27" i="48"/>
  <c r="L28" i="48"/>
  <c r="L29" i="48"/>
  <c r="L30" i="48"/>
  <c r="L31" i="48"/>
  <c r="L32" i="48"/>
  <c r="L33" i="48"/>
  <c r="L34" i="48"/>
  <c r="L35" i="48"/>
  <c r="L36" i="48"/>
  <c r="L37" i="48"/>
  <c r="L38" i="48"/>
  <c r="L39" i="48"/>
  <c r="L40" i="48"/>
  <c r="L41" i="48"/>
  <c r="L42" i="48"/>
  <c r="L43" i="48"/>
  <c r="L44" i="48"/>
  <c r="L45" i="48"/>
  <c r="L46" i="48"/>
  <c r="L47" i="48"/>
  <c r="L48" i="48"/>
  <c r="L49" i="48"/>
  <c r="L50" i="48"/>
  <c r="L51" i="48"/>
  <c r="L52" i="48"/>
  <c r="L53" i="48"/>
  <c r="L54" i="48"/>
  <c r="L55" i="48"/>
  <c r="L56" i="48"/>
  <c r="L57" i="48"/>
  <c r="L58" i="48"/>
  <c r="L59" i="48"/>
  <c r="L60" i="48"/>
  <c r="L61" i="48"/>
  <c r="L62" i="48"/>
  <c r="L63" i="48"/>
  <c r="L64" i="48"/>
  <c r="L65" i="48"/>
  <c r="L66" i="48"/>
  <c r="L67" i="48"/>
  <c r="L68" i="48"/>
  <c r="L69" i="48"/>
  <c r="L70" i="48"/>
  <c r="L71" i="48"/>
  <c r="L72" i="48"/>
  <c r="L73" i="48"/>
  <c r="L74" i="48"/>
  <c r="L75" i="48"/>
  <c r="L76" i="48"/>
  <c r="L77" i="48"/>
  <c r="L78" i="48"/>
  <c r="L79" i="48"/>
  <c r="L80" i="48"/>
  <c r="L81" i="48"/>
  <c r="L82" i="48"/>
  <c r="L83" i="48"/>
  <c r="L84" i="48"/>
  <c r="L85" i="48"/>
  <c r="L86" i="48"/>
  <c r="L87" i="48"/>
  <c r="L88" i="48"/>
  <c r="L89" i="48"/>
  <c r="L90" i="48"/>
  <c r="L91" i="48"/>
  <c r="L92" i="48"/>
  <c r="L93" i="48"/>
  <c r="L94" i="48"/>
  <c r="L95" i="48"/>
  <c r="L96" i="48"/>
  <c r="L97" i="48"/>
  <c r="L98" i="48"/>
  <c r="L99" i="48"/>
  <c r="L100" i="48"/>
  <c r="L101" i="48"/>
  <c r="L102" i="48"/>
  <c r="L103" i="48"/>
  <c r="L104" i="48"/>
  <c r="L105" i="48"/>
  <c r="L106" i="48"/>
  <c r="L107" i="48"/>
  <c r="L108" i="48"/>
  <c r="L109" i="48"/>
  <c r="L110" i="48"/>
  <c r="L111" i="48"/>
  <c r="L112" i="48"/>
  <c r="L113" i="48"/>
  <c r="L114" i="48"/>
  <c r="L115" i="48"/>
  <c r="L116" i="48"/>
  <c r="L117" i="48"/>
  <c r="L118" i="48"/>
  <c r="L119" i="48"/>
  <c r="L120" i="48"/>
  <c r="L121" i="48"/>
  <c r="L122" i="48"/>
  <c r="L123" i="48"/>
  <c r="L124" i="48"/>
  <c r="L125" i="48"/>
  <c r="L126" i="48"/>
  <c r="L127" i="48"/>
  <c r="L128" i="48"/>
  <c r="L129" i="48"/>
  <c r="L130" i="48"/>
  <c r="L131" i="48"/>
  <c r="L132" i="48"/>
  <c r="L133" i="48"/>
  <c r="L134" i="48"/>
  <c r="L135" i="48"/>
  <c r="L136" i="48"/>
  <c r="L137" i="48"/>
  <c r="L138" i="48"/>
  <c r="L139" i="48"/>
  <c r="L140" i="48"/>
  <c r="L141" i="48"/>
  <c r="L142" i="48"/>
  <c r="L143" i="48"/>
  <c r="L144" i="48"/>
  <c r="L145" i="48"/>
  <c r="L146" i="48"/>
  <c r="L147" i="48"/>
  <c r="L148" i="48"/>
  <c r="L149" i="48"/>
  <c r="L150" i="48"/>
  <c r="L151" i="48"/>
  <c r="L152" i="48"/>
  <c r="L153" i="48"/>
  <c r="L154" i="48"/>
  <c r="L155" i="48"/>
  <c r="L156" i="48"/>
  <c r="L157" i="48"/>
  <c r="L158" i="48"/>
  <c r="L159" i="48"/>
  <c r="L160" i="48"/>
  <c r="L161" i="48"/>
  <c r="L162" i="48"/>
  <c r="L163" i="48"/>
  <c r="L164" i="48"/>
  <c r="L165" i="48"/>
  <c r="L166" i="48"/>
  <c r="L167" i="48"/>
  <c r="L168" i="48"/>
  <c r="L169" i="48"/>
  <c r="L170" i="48"/>
  <c r="L171" i="48"/>
  <c r="L172" i="48"/>
  <c r="L173" i="48"/>
  <c r="L174" i="48"/>
  <c r="L175" i="48"/>
  <c r="L176" i="48"/>
  <c r="L177" i="48"/>
  <c r="L178" i="48"/>
  <c r="L179" i="48"/>
  <c r="L180" i="48"/>
  <c r="L181" i="48"/>
  <c r="L182" i="48"/>
  <c r="L183" i="48"/>
  <c r="L184" i="48"/>
  <c r="L185" i="48"/>
  <c r="L186" i="48"/>
  <c r="L187" i="48"/>
  <c r="L188" i="48"/>
  <c r="L189" i="48"/>
  <c r="L190" i="48"/>
  <c r="L191" i="48"/>
  <c r="L192" i="48"/>
  <c r="L193" i="48"/>
  <c r="L194" i="48"/>
  <c r="L195" i="48"/>
  <c r="L196" i="48"/>
  <c r="L197" i="48"/>
  <c r="L198" i="48"/>
  <c r="L199" i="48"/>
  <c r="L200" i="48"/>
  <c r="L201" i="48"/>
  <c r="L202" i="48"/>
  <c r="L203" i="48"/>
  <c r="L204" i="48"/>
  <c r="L205" i="48"/>
  <c r="L206" i="48"/>
  <c r="L207" i="48"/>
  <c r="L208" i="48"/>
  <c r="L209" i="48"/>
  <c r="L210" i="48"/>
  <c r="L211" i="48"/>
  <c r="L212" i="48"/>
  <c r="L213" i="48"/>
  <c r="L214" i="48"/>
  <c r="L215" i="48"/>
  <c r="L216" i="48"/>
  <c r="L217" i="48"/>
  <c r="L218" i="48"/>
  <c r="L219" i="48"/>
  <c r="L220" i="48"/>
  <c r="L221" i="48"/>
  <c r="L222" i="48"/>
  <c r="L223" i="48"/>
  <c r="L224" i="48"/>
  <c r="L225" i="48"/>
  <c r="L226" i="48"/>
  <c r="L227" i="48"/>
  <c r="L228" i="48"/>
  <c r="L229" i="48"/>
  <c r="L230" i="48"/>
  <c r="L231" i="48"/>
  <c r="L232" i="48"/>
  <c r="L5" i="48"/>
  <c r="L6" i="48"/>
  <c r="L7" i="48"/>
  <c r="L8" i="48"/>
  <c r="L9" i="48"/>
  <c r="L10" i="48"/>
  <c r="L11" i="48"/>
  <c r="L12" i="48"/>
  <c r="L13" i="48"/>
  <c r="L14" i="48"/>
  <c r="L15" i="48"/>
  <c r="L16" i="48"/>
  <c r="L17" i="48"/>
  <c r="L18" i="48"/>
  <c r="L19" i="48"/>
  <c r="L20" i="48"/>
  <c r="L21" i="48"/>
  <c r="L4" i="48"/>
  <c r="I32" i="58" l="1"/>
  <c r="J32" i="58"/>
  <c r="J37" i="58" s="1"/>
  <c r="H36" i="58"/>
  <c r="O75" i="58"/>
  <c r="C34" i="58"/>
  <c r="I34" i="58" s="1"/>
  <c r="G32" i="58"/>
  <c r="O18" i="58"/>
  <c r="O49" i="58" s="1"/>
  <c r="C35" i="58"/>
  <c r="I35" i="58" s="1"/>
  <c r="O56" i="58"/>
  <c r="O58" i="58"/>
  <c r="O60" i="58"/>
  <c r="O62" i="58"/>
  <c r="O90" i="58"/>
  <c r="O140" i="58"/>
  <c r="O57" i="58"/>
  <c r="O59" i="58"/>
  <c r="O61" i="58"/>
  <c r="O63" i="58"/>
  <c r="O87" i="58"/>
  <c r="O255" i="58" s="1"/>
  <c r="O89" i="58"/>
  <c r="O91" i="58"/>
  <c r="O102" i="58"/>
  <c r="O20" i="48"/>
  <c r="O140" i="48" s="1"/>
  <c r="O110" i="48"/>
  <c r="O102" i="48"/>
  <c r="O91" i="48"/>
  <c r="O90" i="48"/>
  <c r="O89" i="48"/>
  <c r="O87" i="48"/>
  <c r="O255" i="48" s="1"/>
  <c r="O73" i="48"/>
  <c r="O75" i="48" s="1"/>
  <c r="O72" i="48"/>
  <c r="O71" i="48"/>
  <c r="O74" i="48" s="1"/>
  <c r="O70" i="48"/>
  <c r="O69" i="48"/>
  <c r="O53" i="48"/>
  <c r="O52" i="48"/>
  <c r="O51" i="48"/>
  <c r="O50" i="48"/>
  <c r="O62" i="48" s="1"/>
  <c r="O41" i="48"/>
  <c r="O40" i="48"/>
  <c r="O39" i="48"/>
  <c r="O38" i="48"/>
  <c r="O37" i="48"/>
  <c r="O33" i="48"/>
  <c r="G34" i="58" l="1"/>
  <c r="H34" i="58"/>
  <c r="G35" i="58"/>
  <c r="H35" i="58"/>
  <c r="O64" i="58"/>
  <c r="O81" i="58" s="1"/>
  <c r="O82" i="58" s="1"/>
  <c r="O59" i="48"/>
  <c r="O63" i="48"/>
  <c r="O141" i="58"/>
  <c r="O80" i="58"/>
  <c r="O98" i="58" s="1"/>
  <c r="O56" i="48"/>
  <c r="O60" i="48"/>
  <c r="O57" i="48"/>
  <c r="O61" i="48"/>
  <c r="O64" i="48" s="1"/>
  <c r="O58" i="48"/>
  <c r="O141" i="48"/>
  <c r="O78" i="58" l="1"/>
  <c r="O79" i="58" s="1"/>
  <c r="O88" i="58" s="1"/>
  <c r="O92" i="58" s="1"/>
  <c r="O234" i="58" s="1"/>
  <c r="O65" i="58"/>
  <c r="O66" i="58" s="1"/>
  <c r="O107" i="58"/>
  <c r="O101" i="58"/>
  <c r="O103" i="58" s="1"/>
  <c r="O99" i="58"/>
  <c r="O100" i="58" s="1"/>
  <c r="O179" i="58"/>
  <c r="O144" i="58"/>
  <c r="O161" i="58"/>
  <c r="O81" i="48"/>
  <c r="O82" i="48" s="1"/>
  <c r="O65" i="48"/>
  <c r="O66" i="48" s="1"/>
  <c r="O144" i="48"/>
  <c r="O161" i="48"/>
  <c r="O179" i="48"/>
  <c r="O104" i="58" l="1"/>
  <c r="O175" i="58"/>
  <c r="O169" i="58"/>
  <c r="O170" i="58" s="1"/>
  <c r="O171" i="58" s="1"/>
  <c r="O172" i="58" s="1"/>
  <c r="O173" i="58" s="1"/>
  <c r="O165" i="58"/>
  <c r="O166" i="58" s="1"/>
  <c r="O167" i="58" s="1"/>
  <c r="O168" i="58" s="1"/>
  <c r="O176" i="58"/>
  <c r="O177" i="58" s="1"/>
  <c r="O174" i="58"/>
  <c r="O159" i="58"/>
  <c r="O160" i="58" s="1"/>
  <c r="O157" i="58"/>
  <c r="O158" i="58"/>
  <c r="O152" i="58"/>
  <c r="O153" i="58" s="1"/>
  <c r="O154" i="58" s="1"/>
  <c r="O155" i="58" s="1"/>
  <c r="O156" i="58" s="1"/>
  <c r="O148" i="58"/>
  <c r="O149" i="58" s="1"/>
  <c r="O150" i="58" s="1"/>
  <c r="O151" i="58" s="1"/>
  <c r="O111" i="58"/>
  <c r="O108" i="58"/>
  <c r="O112" i="58" s="1"/>
  <c r="O113" i="58" s="1"/>
  <c r="O116" i="58" s="1"/>
  <c r="O158" i="48"/>
  <c r="O157" i="48"/>
  <c r="O152" i="48"/>
  <c r="O153" i="48" s="1"/>
  <c r="O154" i="48" s="1"/>
  <c r="O155" i="48" s="1"/>
  <c r="O156" i="48" s="1"/>
  <c r="O148" i="48"/>
  <c r="O149" i="48" s="1"/>
  <c r="O150" i="48" s="1"/>
  <c r="O151" i="48" s="1"/>
  <c r="O159" i="48"/>
  <c r="O160" i="48" s="1"/>
  <c r="O169" i="48"/>
  <c r="O170" i="48" s="1"/>
  <c r="O171" i="48" s="1"/>
  <c r="O172" i="48" s="1"/>
  <c r="O173" i="48" s="1"/>
  <c r="O165" i="48"/>
  <c r="O166" i="48" s="1"/>
  <c r="O167" i="48" s="1"/>
  <c r="O168" i="48" s="1"/>
  <c r="O176" i="48"/>
  <c r="O177" i="48" s="1"/>
  <c r="O175" i="48"/>
  <c r="O174" i="48"/>
  <c r="O178" i="48" l="1"/>
  <c r="O180" i="48" s="1"/>
  <c r="O181" i="48" s="1"/>
  <c r="O178" i="58"/>
  <c r="O180" i="58" s="1"/>
  <c r="O182" i="58" s="1"/>
  <c r="O119" i="58"/>
  <c r="O122" i="58" s="1"/>
  <c r="O235" i="58"/>
  <c r="O236" i="58" s="1"/>
  <c r="O182" i="48"/>
  <c r="O224" i="48"/>
  <c r="O224" i="58" l="1"/>
  <c r="O181" i="58"/>
  <c r="O249" i="58"/>
  <c r="O251" i="58" s="1"/>
  <c r="O250" i="58"/>
  <c r="O244" i="58"/>
  <c r="O245" i="58" s="1"/>
  <c r="O246" i="58" s="1"/>
  <c r="O247" i="58" s="1"/>
  <c r="O248" i="58" s="1"/>
  <c r="O240" i="58"/>
  <c r="O241" i="58" s="1"/>
  <c r="O242" i="58" s="1"/>
  <c r="O243" i="58" s="1"/>
  <c r="O220" i="58"/>
  <c r="O185" i="58"/>
  <c r="O202" i="58"/>
  <c r="O135" i="58"/>
  <c r="O137" i="58" s="1"/>
  <c r="O226" i="58" s="1"/>
  <c r="O130" i="58"/>
  <c r="O131" i="58" s="1"/>
  <c r="O132" i="58" s="1"/>
  <c r="O133" i="58" s="1"/>
  <c r="O134" i="58" s="1"/>
  <c r="O136" i="58"/>
  <c r="O126" i="58"/>
  <c r="O127" i="58" s="1"/>
  <c r="O128" i="58" s="1"/>
  <c r="O129" i="58" s="1"/>
  <c r="O202" i="48"/>
  <c r="O220" i="48"/>
  <c r="O185" i="48"/>
  <c r="O199" i="58" l="1"/>
  <c r="O193" i="58"/>
  <c r="O194" i="58" s="1"/>
  <c r="O195" i="58" s="1"/>
  <c r="O196" i="58" s="1"/>
  <c r="O197" i="58" s="1"/>
  <c r="O189" i="58"/>
  <c r="O190" i="58" s="1"/>
  <c r="O191" i="58" s="1"/>
  <c r="O192" i="58" s="1"/>
  <c r="O200" i="58"/>
  <c r="O201" i="58" s="1"/>
  <c r="O198" i="58"/>
  <c r="O217" i="58"/>
  <c r="O218" i="58" s="1"/>
  <c r="O215" i="58"/>
  <c r="O216" i="58"/>
  <c r="O210" i="58"/>
  <c r="O211" i="58" s="1"/>
  <c r="O212" i="58" s="1"/>
  <c r="O213" i="58" s="1"/>
  <c r="O214" i="58" s="1"/>
  <c r="O206" i="58"/>
  <c r="O207" i="58" s="1"/>
  <c r="O208" i="58" s="1"/>
  <c r="O209" i="58" s="1"/>
  <c r="O252" i="58"/>
  <c r="O229" i="58"/>
  <c r="O232" i="58" s="1"/>
  <c r="O233" i="58" s="1"/>
  <c r="C28" i="58" s="1"/>
  <c r="O217" i="48"/>
  <c r="O218" i="48" s="1"/>
  <c r="O210" i="48"/>
  <c r="O211" i="48" s="1"/>
  <c r="O212" i="48" s="1"/>
  <c r="O213" i="48" s="1"/>
  <c r="O214" i="48" s="1"/>
  <c r="O206" i="48"/>
  <c r="O207" i="48" s="1"/>
  <c r="O208" i="48" s="1"/>
  <c r="O209" i="48" s="1"/>
  <c r="O216" i="48"/>
  <c r="O215" i="48"/>
  <c r="O198" i="48"/>
  <c r="O193" i="48"/>
  <c r="O194" i="48" s="1"/>
  <c r="O195" i="48" s="1"/>
  <c r="O196" i="48" s="1"/>
  <c r="O197" i="48" s="1"/>
  <c r="O189" i="48"/>
  <c r="O190" i="48" s="1"/>
  <c r="O191" i="48" s="1"/>
  <c r="O192" i="48" s="1"/>
  <c r="O199" i="48"/>
  <c r="O200" i="48"/>
  <c r="O201" i="48" s="1"/>
  <c r="O219" i="48" s="1"/>
  <c r="O221" i="48" s="1"/>
  <c r="O222" i="48" s="1"/>
  <c r="O223" i="48" s="1"/>
  <c r="O256" i="58" l="1"/>
  <c r="O264" i="58"/>
  <c r="O267" i="58" s="1"/>
  <c r="O268" i="58" s="1"/>
  <c r="D29" i="58" s="1"/>
  <c r="O257" i="58"/>
  <c r="O258" i="58" s="1"/>
  <c r="O259" i="58" s="1"/>
  <c r="O262" i="58" s="1"/>
  <c r="O263" i="58" s="1"/>
  <c r="C30" i="58" s="1"/>
  <c r="O219" i="58"/>
  <c r="O221" i="58" s="1"/>
  <c r="O222" i="58" s="1"/>
  <c r="O223" i="58" s="1"/>
  <c r="D27" i="58" l="1"/>
  <c r="C23" i="48"/>
  <c r="O18" i="48" s="1"/>
  <c r="O49" i="48" s="1"/>
  <c r="O80" i="48" l="1"/>
  <c r="O98" i="48" s="1"/>
  <c r="O78" i="48"/>
  <c r="O79" i="48" s="1"/>
  <c r="C36" i="48"/>
  <c r="O88" i="48" l="1"/>
  <c r="O92" i="48" s="1"/>
  <c r="O234" i="48" s="1"/>
  <c r="O107" i="48"/>
  <c r="O101" i="48"/>
  <c r="O103" i="48" s="1"/>
  <c r="O99" i="48"/>
  <c r="O100" i="48" s="1"/>
  <c r="D1" i="48"/>
  <c r="C1" i="48"/>
  <c r="B5" i="48"/>
  <c r="B4" i="48"/>
  <c r="B3" i="48"/>
  <c r="B5" i="53"/>
  <c r="B4" i="53"/>
  <c r="B3" i="53"/>
  <c r="B5" i="54"/>
  <c r="B4" i="54"/>
  <c r="B3" i="54"/>
  <c r="B5" i="52"/>
  <c r="B4" i="52"/>
  <c r="B3" i="52"/>
  <c r="D1" i="53"/>
  <c r="C1" i="53"/>
  <c r="D1" i="54"/>
  <c r="C1" i="54"/>
  <c r="D1" i="52"/>
  <c r="C1" i="52"/>
  <c r="D1" i="51"/>
  <c r="C1" i="51"/>
  <c r="B5" i="51"/>
  <c r="B4" i="51"/>
  <c r="B3" i="51"/>
  <c r="O108" i="48" l="1"/>
  <c r="O112" i="48" s="1"/>
  <c r="O113" i="48" s="1"/>
  <c r="O111" i="48"/>
  <c r="O104" i="48"/>
  <c r="C34" i="48"/>
  <c r="H34" i="48" s="1"/>
  <c r="G34" i="50" s="1"/>
  <c r="C35" i="48"/>
  <c r="A1" i="53"/>
  <c r="A1" i="54"/>
  <c r="A1" i="52"/>
  <c r="A1" i="51"/>
  <c r="C24" i="50"/>
  <c r="C25" i="50"/>
  <c r="I33" i="48"/>
  <c r="J33" i="48"/>
  <c r="I33" i="50" s="1"/>
  <c r="I34" i="48"/>
  <c r="H34" i="50" s="1"/>
  <c r="J34" i="48"/>
  <c r="I34" i="50" s="1"/>
  <c r="H35" i="48"/>
  <c r="G35" i="50" s="1"/>
  <c r="I35" i="48"/>
  <c r="H35" i="50" s="1"/>
  <c r="J35" i="48"/>
  <c r="I35" i="50" s="1"/>
  <c r="H36" i="48"/>
  <c r="G36" i="50" s="1"/>
  <c r="I36" i="48"/>
  <c r="H36" i="50" s="1"/>
  <c r="J36" i="48"/>
  <c r="I36" i="50" s="1"/>
  <c r="J32" i="48"/>
  <c r="I32" i="50" s="1"/>
  <c r="O116" i="48" l="1"/>
  <c r="O119" i="48"/>
  <c r="O122" i="48" s="1"/>
  <c r="O235" i="48"/>
  <c r="O236" i="48" s="1"/>
  <c r="C34" i="50"/>
  <c r="D15" i="54"/>
  <c r="D13" i="54"/>
  <c r="C35" i="50"/>
  <c r="C23" i="50"/>
  <c r="G35" i="48"/>
  <c r="G36" i="48"/>
  <c r="J37" i="48"/>
  <c r="G32" i="48" l="1"/>
  <c r="I32" i="48"/>
  <c r="F36" i="50"/>
  <c r="D15" i="52"/>
  <c r="F35" i="50"/>
  <c r="D15" i="51" s="1"/>
  <c r="O249" i="48"/>
  <c r="O244" i="48"/>
  <c r="O245" i="48" s="1"/>
  <c r="O246" i="48" s="1"/>
  <c r="O247" i="48" s="1"/>
  <c r="O248" i="48" s="1"/>
  <c r="O251" i="48" s="1"/>
  <c r="O240" i="48"/>
  <c r="O241" i="48" s="1"/>
  <c r="O242" i="48" s="1"/>
  <c r="O243" i="48" s="1"/>
  <c r="O250" i="48"/>
  <c r="O130" i="48"/>
  <c r="O131" i="48" s="1"/>
  <c r="O132" i="48" s="1"/>
  <c r="O133" i="48" s="1"/>
  <c r="O134" i="48" s="1"/>
  <c r="O126" i="48"/>
  <c r="O127" i="48" s="1"/>
  <c r="O128" i="48" s="1"/>
  <c r="O129" i="48" s="1"/>
  <c r="O137" i="48"/>
  <c r="O226" i="48" s="1"/>
  <c r="O135" i="48"/>
  <c r="O136" i="48"/>
  <c r="G24" i="50"/>
  <c r="H32" i="48"/>
  <c r="G32" i="50" s="1"/>
  <c r="C32" i="50"/>
  <c r="C36" i="50"/>
  <c r="G34" i="48"/>
  <c r="D15" i="53"/>
  <c r="D13" i="53"/>
  <c r="I37" i="48" l="1"/>
  <c r="H32" i="50"/>
  <c r="D8" i="54" s="1"/>
  <c r="D8" i="53"/>
  <c r="F32" i="50"/>
  <c r="D8" i="51" s="1"/>
  <c r="D13" i="52"/>
  <c r="F34" i="50"/>
  <c r="D13" i="51" s="1"/>
  <c r="O252" i="48"/>
  <c r="O229" i="48"/>
  <c r="O232" i="48" s="1"/>
  <c r="O233" i="48" s="1"/>
  <c r="C28" i="48" s="1"/>
  <c r="O257" i="48" l="1"/>
  <c r="O256" i="48"/>
  <c r="O264" i="48"/>
  <c r="O267" i="48" s="1"/>
  <c r="O268" i="48" s="1"/>
  <c r="D29" i="48" s="1"/>
  <c r="D8" i="52"/>
  <c r="C33" i="58"/>
  <c r="H33" i="58" l="1"/>
  <c r="H37" i="58" s="1"/>
  <c r="I33" i="58"/>
  <c r="O258" i="48"/>
  <c r="O259" i="48" s="1"/>
  <c r="O262" i="48" s="1"/>
  <c r="O263" i="48" s="1"/>
  <c r="C30" i="48" s="1"/>
  <c r="G33" i="58"/>
  <c r="G37" i="58" s="1"/>
  <c r="D31" i="58"/>
  <c r="C26" i="58" s="1"/>
  <c r="C37" i="58" s="1"/>
  <c r="C38" i="58" s="1"/>
  <c r="C33" i="48"/>
  <c r="I37" i="58" l="1"/>
  <c r="H33" i="50"/>
  <c r="H33" i="48"/>
  <c r="G33" i="50" s="1"/>
  <c r="G33" i="48"/>
  <c r="C33" i="50"/>
  <c r="D31" i="48"/>
  <c r="F33" i="50" l="1"/>
  <c r="F37" i="50" s="1"/>
  <c r="D11" i="54"/>
  <c r="D19" i="54" s="1"/>
  <c r="D24" i="54" s="1"/>
  <c r="H37" i="50"/>
  <c r="D27" i="48"/>
  <c r="C26" i="48" s="1"/>
  <c r="C37" i="48" s="1"/>
  <c r="H37" i="48"/>
  <c r="G37" i="48"/>
  <c r="C31" i="50"/>
  <c r="C28" i="50" l="1"/>
  <c r="C26" i="50"/>
  <c r="C38" i="48"/>
  <c r="C38" i="50" s="1"/>
  <c r="C37" i="50"/>
  <c r="L25" i="50"/>
  <c r="G29" i="50"/>
  <c r="L29" i="50" s="1"/>
  <c r="D11" i="52"/>
  <c r="D19" i="52" s="1"/>
  <c r="D24" i="52" s="1"/>
  <c r="G37" i="50"/>
  <c r="D11" i="53"/>
  <c r="D19" i="53" s="1"/>
  <c r="D24" i="53" s="1"/>
  <c r="I37" i="50"/>
  <c r="D11" i="51"/>
  <c r="D19" i="51" s="1"/>
  <c r="D24" i="51" s="1"/>
  <c r="C29" i="50" l="1"/>
  <c r="K18" i="55"/>
  <c r="K23" i="55" s="1"/>
  <c r="C30" i="50"/>
  <c r="L26" i="50"/>
  <c r="K26" i="55" l="1"/>
  <c r="C27" i="50"/>
  <c r="K24" i="55"/>
  <c r="K33" i="55" l="1"/>
  <c r="L24" i="50"/>
  <c r="L27"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Faber</author>
    <author>Faber, Peter (I/FF-44)</author>
    <author>Sabine Schuh</author>
  </authors>
  <commentList>
    <comment ref="N4" authorId="0" shapeId="0" xr:uid="{00000000-0006-0000-0800-000001000000}">
      <text>
        <r>
          <rPr>
            <b/>
            <sz val="8"/>
            <color indexed="81"/>
            <rFont val="Tahoma"/>
            <family val="2"/>
          </rPr>
          <t>1, wenn die Anwendung des Faktorverfahrens gewählt wurde
(nur in Steuerklasse IV)</t>
        </r>
      </text>
    </comment>
    <comment ref="N5" authorId="0" shapeId="0" xr:uid="{00000000-0006-0000-0800-000002000000}">
      <text>
        <r>
          <rPr>
            <b/>
            <sz val="8"/>
            <color indexed="81"/>
            <rFont val="Tahoma"/>
            <family val="2"/>
          </rPr>
          <t>Auf die Vollendung des 64. Lebensjahres folgendes Kalenderjahr (erforderlich, wenn ALTER1=1)</t>
        </r>
      </text>
    </comment>
    <comment ref="N6" authorId="0" shapeId="0" xr:uid="{00000000-0006-0000-0800-000003000000}">
      <text>
        <r>
          <rPr>
            <b/>
            <sz val="8"/>
            <color indexed="81"/>
            <rFont val="Tahoma"/>
            <family val="2"/>
          </rPr>
          <t>1, wenn das 64. Lebensjahr vor Beginn des Kalenderjahres vollendet wurde, in dem der Lohnzahlungszeitraum endet (§ 24 a EStG), sonst = 0</t>
        </r>
      </text>
    </comment>
    <comment ref="N7" authorId="0" shapeId="0" xr:uid="{00000000-0006-0000-0800-000004000000}">
      <text>
        <r>
          <rPr>
            <b/>
            <sz val="8"/>
            <color indexed="81"/>
            <rFont val="Tahoma"/>
            <family val="2"/>
          </rPr>
          <t>eingetragener Faktor mit drei Nachkommastellen</t>
        </r>
      </text>
    </comment>
    <comment ref="N8" authorId="0" shapeId="0" xr:uid="{00000000-0006-0000-0800-000005000000}">
      <text>
        <r>
          <rPr>
            <b/>
            <sz val="8"/>
            <color indexed="81"/>
            <rFont val="Tahoma"/>
            <family val="2"/>
          </rPr>
          <t xml:space="preserve">Merker für die Vorsorgepauschale
0 = der Arbeitnehmer ist in der gesetzlichen Rentenversicherung
       oder einer berufständischen Versorgungseinrichtung pflicht-
       versichert oder, bei Befreiung von der Versicherungspflicht,
       freiwillig versichert; es gilt die allgemeine Beitragsbemessungs-
       grenze (BBG West)
1 = der Arbeitnehmer ist in der gesetzlichen Rentenversicherung
       oder einer berufständischen Versorgungseinrichtung pflicht-
       versichert oder, bei Befreiung von der Versicherungspflicht,
       freiwillig versichert; es gilt die Beitragsbemessungsgrenze Ost
       (BBG Ost)
2 = wenn nicht 0 oder 1
</t>
        </r>
      </text>
    </comment>
    <comment ref="N9" authorId="1" shapeId="0" xr:uid="{00000000-0006-0000-0800-000006000000}">
      <text>
        <r>
          <rPr>
            <b/>
            <sz val="9"/>
            <color indexed="81"/>
            <rFont val="Tahoma"/>
            <family val="2"/>
          </rPr>
          <t>Kassenindividueller Zusatzbeitragssatz bei einem gesetzlich krankenversicherten Arbeitnehmer in Prozent (bspw. 1,10 für 1,10%) mit 2 Dezimalstellen. Es ist der volle Zusatzbeitragssatz anzugeben. Die Aufteilung in Arbeitnehmer- und Arbeitgeberanteil erfolgt im Programmablauf.</t>
        </r>
        <r>
          <rPr>
            <sz val="9"/>
            <color indexed="81"/>
            <rFont val="Tahoma"/>
            <family val="2"/>
          </rPr>
          <t xml:space="preserve">
</t>
        </r>
      </text>
    </comment>
    <comment ref="N10" authorId="0" shapeId="0" xr:uid="{00000000-0006-0000-0800-000007000000}">
      <text>
        <r>
          <rPr>
            <b/>
            <sz val="8"/>
            <color indexed="81"/>
            <rFont val="Tahoma"/>
            <family val="2"/>
          </rPr>
          <t>Lohnzahlungszeitraum:
1 = Jahr
2 = Monat
3 = Woche
4 = Tag</t>
        </r>
        <r>
          <rPr>
            <sz val="8"/>
            <color indexed="81"/>
            <rFont val="Tahoma"/>
            <family val="2"/>
          </rPr>
          <t xml:space="preserve">
</t>
        </r>
      </text>
    </comment>
    <comment ref="N11" authorId="0" shapeId="0" xr:uid="{00000000-0006-0000-0800-000008000000}">
      <text>
        <r>
          <rPr>
            <b/>
            <sz val="8"/>
            <color indexed="81"/>
            <rFont val="Tahoma"/>
            <family val="2"/>
          </rPr>
          <t>Der als elektronisches Lohnsteuerabzugsmerkmal für den Arbeitgeber nach § 39e EStG festgestellte oder in der Bescheinigung für den Lohnsteuerabzug 2020 eingetragene Freibetrag für den Lohnzahlungszeitraum in Cent</t>
        </r>
      </text>
    </comment>
    <comment ref="N12" authorId="0" shapeId="0" xr:uid="{00000000-0006-0000-0800-000009000000}">
      <text>
        <r>
          <rPr>
            <b/>
            <sz val="8"/>
            <color indexed="81"/>
            <rFont val="Tahoma"/>
            <family val="2"/>
          </rPr>
          <t>Der als elektronisches Lohnsteuerabzugsmerkmal für den Arbeitgeber nach § 39e EStG festgestellte oder in der Bescheinigung für den Lohnsteuerabzug 2020 eingetragene Hinzurechnungsbetrag für den Lohnzahlungszeitraum in Cent</t>
        </r>
      </text>
    </comment>
    <comment ref="N13" authorId="0" shapeId="0" xr:uid="{00000000-0006-0000-0800-00000A000000}">
      <text>
        <r>
          <rPr>
            <b/>
            <sz val="8"/>
            <color indexed="81"/>
            <rFont val="Tahoma"/>
            <family val="2"/>
          </rPr>
          <t>Dem Arbeitgeber mitgeteilte Beiträge des Arbeitnehmers für eine private Basiskranken- bzw. Pflege-Pflichtversicherung im Sinne des § 10 Absatz 1 Nummer 3 EStG in Cent; der Wert ist unabhängig
vom Lohnzahlungszeitraum immer als Monatsbetrag anzugeben</t>
        </r>
      </text>
    </comment>
    <comment ref="N14" authorId="0" shapeId="0" xr:uid="{00000000-0006-0000-0800-00000B000000}">
      <text>
        <r>
          <rPr>
            <b/>
            <sz val="8"/>
            <color indexed="81"/>
            <rFont val="Tahoma"/>
            <family val="2"/>
          </rPr>
          <t>0 = gesetzlich krankenversicherte Arbeitnehmer
1 = ausschließlich privat krankenversicherte Arbeitnehmer
ohne Arbeitgeberzuschuss
2 = ausschließlich privat krankenversicherte Arbeitnehmer
mit Arbeitgeberzuschuss</t>
        </r>
      </text>
    </comment>
    <comment ref="N15" authorId="0" shapeId="0" xr:uid="{00000000-0006-0000-0800-00000C000000}">
      <text>
        <r>
          <rPr>
            <b/>
            <sz val="8"/>
            <color indexed="81"/>
            <rFont val="Tahoma"/>
            <family val="2"/>
          </rPr>
          <t>1, wenn bei der sozialen Pflegeversicherung die Besonderheiten in
Sachsen zu berücksichtigen sind bzw. zu berücksichtigen wären</t>
        </r>
      </text>
    </comment>
    <comment ref="F16" authorId="2" shapeId="0" xr:uid="{00000000-0006-0000-0800-00000D000000}">
      <text>
        <r>
          <rPr>
            <sz val="9"/>
            <color indexed="81"/>
            <rFont val="Segoe UI"/>
            <family val="2"/>
          </rPr>
          <t xml:space="preserve">ja, falls kinderlos und älter als 23 Jahre; sonst nein
</t>
        </r>
      </text>
    </comment>
    <comment ref="N16" authorId="0" shapeId="0" xr:uid="{00000000-0006-0000-0800-00000E000000}">
      <text>
        <r>
          <rPr>
            <b/>
            <sz val="8"/>
            <color indexed="81"/>
            <rFont val="Tahoma"/>
            <family val="2"/>
          </rPr>
          <t>1, wenn der Arbeitnehmer den Zuschlag zur sozialen
Pflegeversicherung zu zahlen hat</t>
        </r>
      </text>
    </comment>
    <comment ref="F17" authorId="2" shapeId="0" xr:uid="{00000000-0006-0000-0800-00000F000000}">
      <text>
        <r>
          <rPr>
            <sz val="8"/>
            <color indexed="81"/>
            <rFont val="Segoe UI"/>
            <family val="2"/>
          </rPr>
          <t>1: ledig, geschieden
2: alleinerziehend
3: verheiratet, wenn Ehepartner in Steuerklasse 5 (höheres Einkommen)
4: verheiratet 
5: verheiratet, wenn Ehepartner in Steuerklasse 3 (niedrigeres Einkommen)
6. zweites Arbeitsverhältnis, unabhängig vom Familienstand</t>
        </r>
      </text>
    </comment>
    <comment ref="N17" authorId="0" shapeId="0" xr:uid="{00000000-0006-0000-0800-000010000000}">
      <text>
        <r>
          <rPr>
            <b/>
            <sz val="8"/>
            <color indexed="81"/>
            <rFont val="Tahoma"/>
            <family val="2"/>
          </rPr>
          <t>Religionsgemeinschaft des Arbeitnehmers lt. elektronischer Lohnsteuerabzugsmerkmale oder der Bescheinigung für den Lohnsteuerabzug 2020 (bei keiner Religionszugehörigkeit = 0)</t>
        </r>
        <r>
          <rPr>
            <sz val="8"/>
            <color indexed="81"/>
            <rFont val="Tahoma"/>
            <family val="2"/>
          </rPr>
          <t xml:space="preserve">
</t>
        </r>
      </text>
    </comment>
    <comment ref="N18" authorId="0" shapeId="0" xr:uid="{00000000-0006-0000-0800-000011000000}">
      <text>
        <r>
          <rPr>
            <b/>
            <sz val="8"/>
            <color indexed="81"/>
            <rFont val="Tahoma"/>
            <family val="2"/>
          </rPr>
          <t>Steuerpflichtiger Arbeitslohn für den Lohnzahlungszeitraum vor Berücksichtigung des Versorgungsfreibetrags und des Zuschlags zum Versorgungsfreibetrag, des Altersentlastungsbetrags und des als elektronisches Lohnsteuerabzugsmerkmal festgestellten oder in der Bescheinigung für den Lohnsteuerabzug 2020 für den Lohnzahlungszeitraum eingetragenen Freibetrags bzw. Hinzurechnungsbetrags in Cent</t>
        </r>
        <r>
          <rPr>
            <sz val="8"/>
            <color indexed="81"/>
            <rFont val="Tahoma"/>
            <family val="2"/>
          </rPr>
          <t xml:space="preserve">
</t>
        </r>
      </text>
    </comment>
    <comment ref="N19" authorId="0" shapeId="0" xr:uid="{00000000-0006-0000-0800-000012000000}">
      <text>
        <r>
          <rPr>
            <b/>
            <sz val="8"/>
            <color indexed="81"/>
            <rFont val="Tahoma"/>
            <family val="2"/>
          </rPr>
          <t>Sterbegeld bei Versorgungsbezügen sowie Kapitalauszahlun-gen/Abfindungen, soweit es sich nicht um Bezüge für mehrere Jahre handelt (in SONSTB enthalten) in Cent</t>
        </r>
        <r>
          <rPr>
            <sz val="8"/>
            <color indexed="81"/>
            <rFont val="Tahoma"/>
            <family val="2"/>
          </rPr>
          <t xml:space="preserve">
</t>
        </r>
      </text>
    </comment>
    <comment ref="N20" authorId="0" shapeId="0" xr:uid="{00000000-0006-0000-0800-000013000000}">
      <text>
        <r>
          <rPr>
            <b/>
            <sz val="8"/>
            <color indexed="81"/>
            <rFont val="Tahoma"/>
            <family val="2"/>
          </rPr>
          <t>Steuerklasse:
1 = I
2 = II
3 = III
4 = IV
5 = V
6 = VI</t>
        </r>
        <r>
          <rPr>
            <sz val="8"/>
            <color indexed="81"/>
            <rFont val="Tahoma"/>
            <family val="2"/>
          </rPr>
          <t xml:space="preserve">
</t>
        </r>
      </text>
    </comment>
    <comment ref="N21" authorId="0" shapeId="0" xr:uid="{00000000-0006-0000-0800-000014000000}">
      <text>
        <r>
          <rPr>
            <b/>
            <sz val="8"/>
            <color indexed="81"/>
            <rFont val="Tahoma"/>
            <family val="2"/>
          </rPr>
          <t xml:space="preserve">In RE4 enthaltene Versorgungsbezüge in Cent </t>
        </r>
        <r>
          <rPr>
            <b/>
            <sz val="8"/>
            <color indexed="81"/>
            <rFont val="Tahoma"/>
            <family val="2"/>
          </rPr>
          <t>(ggf. 0) ggf. unter Berücksichtigung einer geänderten Bemessungsgrundlage nach
§ 19 Absatz 2 Satz 10 und 11 EStG</t>
        </r>
        <r>
          <rPr>
            <sz val="8"/>
            <color indexed="81"/>
            <rFont val="Tahoma"/>
            <family val="2"/>
          </rPr>
          <t xml:space="preserve">
</t>
        </r>
      </text>
    </comment>
    <comment ref="N22" authorId="0" shapeId="0" xr:uid="{00000000-0006-0000-0800-000015000000}">
      <text>
        <r>
          <rPr>
            <b/>
            <sz val="8"/>
            <color indexed="81"/>
            <rFont val="Tahoma"/>
            <family val="2"/>
          </rPr>
          <t>Versorgungsbezug im Januar 2005 bzw. für den ersten vollen Monat, wenn der Versorgungsbezug erstmalig nach Januar 2005 gewährt wurde in Cent</t>
        </r>
      </text>
    </comment>
    <comment ref="N23" authorId="0" shapeId="0" xr:uid="{00000000-0006-0000-0800-000016000000}">
      <text>
        <r>
          <rPr>
            <b/>
            <sz val="8"/>
            <color indexed="81"/>
            <rFont val="Tahoma"/>
            <family val="2"/>
          </rPr>
          <t>Voraussichtliche Sonderzahlungen von Versorgungsbezügen im Kalenderjahr des Versorgungsbeginns bei Versorgungsempfängern ohne Sterbegeld, Kapitalauszahlungen/Abfindungen in Cent</t>
        </r>
      </text>
    </comment>
    <comment ref="N24" authorId="0" shapeId="0" xr:uid="{00000000-0006-0000-0800-000017000000}">
      <text>
        <r>
          <rPr>
            <b/>
            <sz val="8"/>
            <color indexed="81"/>
            <rFont val="Tahoma"/>
            <family val="2"/>
          </rPr>
          <t>Jahr, in dem der Versorgungsbezug erstmalig gewährt wurde; werden mehrere Versorgungsbezüge gezahlt, wird aus Vereinfachungsgründen für die Berechnung des ältestesten erstmaligen Bezugs herangezogen; auf die Möglichkeit der getrennten Abrechnung verschiedenartiger Bezüge (§ 39e Absatz 5a EStG) wird im Übrigen verwiesen</t>
        </r>
      </text>
    </comment>
    <comment ref="F25" authorId="2" shapeId="0" xr:uid="{00000000-0006-0000-0800-000018000000}">
      <text>
        <r>
          <rPr>
            <sz val="9"/>
            <color indexed="81"/>
            <rFont val="Segoe UI"/>
            <family val="2"/>
          </rPr>
          <t xml:space="preserve">z. B. Weihnachtsgeld, Urlaubsgeld
(SV-und steuerpflichtig)
</t>
        </r>
      </text>
    </comment>
    <comment ref="N25" authorId="0" shapeId="0" xr:uid="{00000000-0006-0000-0800-000019000000}">
      <text>
        <r>
          <rPr>
            <b/>
            <sz val="8"/>
            <color indexed="81"/>
            <rFont val="Tahoma"/>
            <family val="2"/>
          </rPr>
          <t>Zahl der Freibeträge für Kinder (eine Dezimalstelle, nur bei Steuer-
klassen I, II, III und IV)</t>
        </r>
        <r>
          <rPr>
            <sz val="8"/>
            <color indexed="81"/>
            <rFont val="Tahoma"/>
            <family val="2"/>
          </rPr>
          <t xml:space="preserve">
</t>
        </r>
      </text>
    </comment>
    <comment ref="N26" authorId="0" shapeId="0" xr:uid="{00000000-0006-0000-0800-00001A000000}">
      <text>
        <r>
          <rPr>
            <b/>
            <sz val="8"/>
            <color indexed="81"/>
            <rFont val="Tahoma"/>
            <family val="2"/>
          </rPr>
          <t>Zahl der Monate, für die im Kalenderjahr Versorgungsbezüge gezahlt werden [nur erforderlich bei Jahresberechnungen (LZZ = 1)]</t>
        </r>
      </text>
    </comment>
    <comment ref="F28" authorId="2" shapeId="0" xr:uid="{00000000-0006-0000-0800-00001B000000}">
      <text>
        <r>
          <rPr>
            <sz val="9"/>
            <color indexed="81"/>
            <rFont val="Segoe UI"/>
            <family val="2"/>
          </rPr>
          <t>Basis: Lohnsteuertabelle 2020; Hinweise zur Berechnung siehe www.bmf-steuerrechner.de</t>
        </r>
      </text>
    </comment>
    <comment ref="F32" authorId="2" shapeId="0" xr:uid="{00000000-0006-0000-0800-00001C000000}">
      <text>
        <r>
          <rPr>
            <sz val="9"/>
            <color indexed="81"/>
            <rFont val="Segoe UI"/>
            <family val="2"/>
          </rPr>
          <t xml:space="preserve">Die Beitrags-bemessungsgrenzen werden nicht berücksichtigt.
</t>
        </r>
      </text>
    </comment>
    <comment ref="N32" authorId="1" shapeId="0" xr:uid="{00000000-0006-0000-0800-00001D000000}">
      <text>
        <r>
          <rPr>
            <b/>
            <sz val="9"/>
            <color indexed="81"/>
            <rFont val="Tahoma"/>
            <family val="2"/>
          </rPr>
          <t>Zuweisung von Werten für bestimmte Sozialversicherungsparameter</t>
        </r>
        <r>
          <rPr>
            <sz val="9"/>
            <color indexed="81"/>
            <rFont val="Tahoma"/>
            <family val="2"/>
          </rPr>
          <t xml:space="preserve">
</t>
        </r>
      </text>
    </comment>
    <comment ref="N33" authorId="1" shapeId="0" xr:uid="{00000000-0006-0000-0800-00001E000000}">
      <text>
        <r>
          <rPr>
            <b/>
            <sz val="9"/>
            <color indexed="81"/>
            <rFont val="Tahoma"/>
            <family val="2"/>
          </rPr>
          <t>allgemeine Beitragsbemessungsgrenze in der allgemeinen Rentenversicherung in EURO</t>
        </r>
        <r>
          <rPr>
            <sz val="9"/>
            <color indexed="81"/>
            <rFont val="Tahoma"/>
            <family val="2"/>
          </rPr>
          <t xml:space="preserve">
</t>
        </r>
      </text>
    </comment>
    <comment ref="N34" authorId="1" shapeId="0" xr:uid="{00000000-0006-0000-0800-00001F000000}">
      <text>
        <r>
          <rPr>
            <b/>
            <sz val="9"/>
            <color indexed="81"/>
            <rFont val="Tahoma"/>
            <family val="2"/>
          </rPr>
          <t>Beitragssatz des Arbeitnehmers in der allgemeinen gesetzlichen Rentenversicherung (4 Dezimalstellen)</t>
        </r>
        <r>
          <rPr>
            <sz val="9"/>
            <color indexed="81"/>
            <rFont val="Tahoma"/>
            <family val="2"/>
          </rPr>
          <t xml:space="preserve">
</t>
        </r>
      </text>
    </comment>
    <comment ref="N35" authorId="1" shapeId="0" xr:uid="{00000000-0006-0000-0800-000020000000}">
      <text>
        <r>
          <rPr>
            <b/>
            <sz val="9"/>
            <color indexed="81"/>
            <rFont val="Tahoma"/>
            <family val="2"/>
          </rPr>
          <t>Teilbetragssatz der Vorsorgepauschale für die Rentenversicherung (2 Dezimalstellen)</t>
        </r>
        <r>
          <rPr>
            <sz val="9"/>
            <color indexed="81"/>
            <rFont val="Tahoma"/>
            <family val="2"/>
          </rPr>
          <t xml:space="preserve">
</t>
        </r>
      </text>
    </comment>
    <comment ref="N36" authorId="1" shapeId="0" xr:uid="{00000000-0006-0000-0800-000021000000}">
      <text>
        <r>
          <rPr>
            <b/>
            <sz val="9"/>
            <color indexed="81"/>
            <rFont val="Tahoma"/>
            <family val="2"/>
          </rPr>
          <t>Beitragsbemessungsgrenze in der gesetzlichen Krankenversicherung und der sozialen Pflegeversicherung in EURO</t>
        </r>
        <r>
          <rPr>
            <sz val="9"/>
            <color indexed="81"/>
            <rFont val="Tahoma"/>
            <family val="2"/>
          </rPr>
          <t xml:space="preserve">
</t>
        </r>
      </text>
    </comment>
    <comment ref="N37" authorId="0" shapeId="0" xr:uid="{00000000-0006-0000-0800-000022000000}">
      <text>
        <r>
          <rPr>
            <b/>
            <sz val="8"/>
            <color indexed="81"/>
            <rFont val="Tahoma"/>
            <family val="2"/>
          </rPr>
          <t>Beitragssatz des Arbeitnehmers zur Krankenversicherung
(5 Dezimalstellen)</t>
        </r>
      </text>
    </comment>
    <comment ref="N38" authorId="0" shapeId="0" xr:uid="{00000000-0006-0000-0800-000023000000}">
      <text>
        <r>
          <rPr>
            <b/>
            <sz val="8"/>
            <color indexed="81"/>
            <rFont val="Tahoma"/>
            <family val="2"/>
          </rPr>
          <t>Beitragssatz des Arbeitgebers zur Krankenversicherung unter Berücksichtigung des durchschnittlichen Zusatzbeitragssatzes für die Ermittlung des Arbeitgeberzuschusses (5 Dezimalstellen)</t>
        </r>
      </text>
    </comment>
    <comment ref="N39" authorId="0" shapeId="0" xr:uid="{00000000-0006-0000-0800-000024000000}">
      <text>
        <r>
          <rPr>
            <b/>
            <sz val="8"/>
            <color indexed="81"/>
            <rFont val="Tahoma"/>
            <family val="2"/>
          </rPr>
          <t>Beitragssatz des Arbeitnehmers zur Pflegeversicherung
(5 Dezimalstellen)</t>
        </r>
      </text>
    </comment>
    <comment ref="N40" authorId="0" shapeId="0" xr:uid="{00000000-0006-0000-0800-000025000000}">
      <text>
        <r>
          <rPr>
            <b/>
            <sz val="8"/>
            <color indexed="81"/>
            <rFont val="Tahoma"/>
            <family val="2"/>
          </rPr>
          <t>Beitragssatz des Arbeitgebers zur Pflegeversicherung
(5 Dezimalstellen)</t>
        </r>
      </text>
    </comment>
    <comment ref="N41" authorId="0" shapeId="0" xr:uid="{00000000-0006-0000-0800-000026000000}">
      <text>
        <r>
          <rPr>
            <b/>
            <sz val="8"/>
            <color indexed="81"/>
            <rFont val="Tahoma"/>
            <family val="2"/>
          </rPr>
          <t>Beitragssatz des Arbeitnehmers zur Pflegeversicherung
(5 Dezimalstellen)</t>
        </r>
      </text>
    </comment>
    <comment ref="N42" authorId="0" shapeId="0" xr:uid="{00000000-0006-0000-0800-000027000000}">
      <text>
        <r>
          <rPr>
            <b/>
            <sz val="8"/>
            <color indexed="81"/>
            <rFont val="Tahoma"/>
            <family val="2"/>
          </rPr>
          <t>Erster Grenzwert in Steuerklasse V/VI in Euro</t>
        </r>
      </text>
    </comment>
    <comment ref="N43" authorId="0" shapeId="0" xr:uid="{00000000-0006-0000-0800-000028000000}">
      <text>
        <r>
          <rPr>
            <b/>
            <sz val="8"/>
            <color indexed="81"/>
            <rFont val="Tahoma"/>
            <family val="2"/>
          </rPr>
          <t>Zweiter Grenzwert in Steuerklasse V/VI in Euro</t>
        </r>
      </text>
    </comment>
    <comment ref="N44" authorId="0" shapeId="0" xr:uid="{00000000-0006-0000-0800-000029000000}">
      <text>
        <r>
          <rPr>
            <b/>
            <sz val="8"/>
            <color indexed="81"/>
            <rFont val="Tahoma"/>
            <family val="2"/>
          </rPr>
          <t>Dritter Grenzwert in Steuerklasse V/VI in Euro</t>
        </r>
      </text>
    </comment>
    <comment ref="N45" authorId="0" shapeId="0" xr:uid="{00000000-0006-0000-0800-00002A000000}">
      <text>
        <r>
          <rPr>
            <b/>
            <sz val="8"/>
            <color indexed="81"/>
            <rFont val="Tahoma"/>
            <family val="2"/>
          </rPr>
          <t>Grundfreibetrag in Euro</t>
        </r>
      </text>
    </comment>
    <comment ref="N46" authorId="0" shapeId="0" xr:uid="{00000000-0006-0000-0800-00002B000000}">
      <text>
        <r>
          <rPr>
            <b/>
            <sz val="8"/>
            <color indexed="81"/>
            <rFont val="Tahoma"/>
            <family val="2"/>
          </rPr>
          <t>Freigrenze für den Solidaritätszuschlag in Euro</t>
        </r>
      </text>
    </comment>
    <comment ref="N48" authorId="0" shapeId="0" xr:uid="{00000000-0006-0000-0800-00002C000000}">
      <text>
        <r>
          <rPr>
            <b/>
            <sz val="9"/>
            <color indexed="81"/>
            <rFont val="Tahoma"/>
            <family val="2"/>
          </rPr>
          <t>Ermittlung des Jahresarbeitslohns und der Freibeträge § 39b Abs. 2 Satz 2 EStG</t>
        </r>
        <r>
          <rPr>
            <sz val="9"/>
            <color indexed="81"/>
            <rFont val="Tahoma"/>
            <family val="2"/>
          </rPr>
          <t xml:space="preserve">
</t>
        </r>
      </text>
    </comment>
    <comment ref="N49" authorId="0" shapeId="0" xr:uid="{00000000-0006-0000-0800-00002D000000}">
      <text>
        <r>
          <rPr>
            <b/>
            <sz val="8"/>
            <color indexed="81"/>
            <rFont val="Tahoma"/>
            <family val="2"/>
          </rPr>
          <t>Auf einen Jahreslohn hochgerechnetes RE4 in Euro, Cent
(2 Dezimalstellen)</t>
        </r>
        <r>
          <rPr>
            <sz val="8"/>
            <color indexed="81"/>
            <rFont val="Tahoma"/>
            <family val="2"/>
          </rPr>
          <t xml:space="preserve">
</t>
        </r>
      </text>
    </comment>
    <comment ref="N50" authorId="0" shapeId="0" xr:uid="{00000000-0006-0000-0800-00002E000000}">
      <text>
        <r>
          <rPr>
            <b/>
            <sz val="8"/>
            <color indexed="81"/>
            <rFont val="Tahoma"/>
            <family val="2"/>
          </rPr>
          <t>Auf einen Jahreslohn hochgerechnetes VBEZ in Euro, Cent
(2 Dezimalstellen)</t>
        </r>
        <r>
          <rPr>
            <sz val="8"/>
            <color indexed="81"/>
            <rFont val="Tahoma"/>
            <family val="2"/>
          </rPr>
          <t xml:space="preserve">
</t>
        </r>
      </text>
    </comment>
    <comment ref="N51" authorId="0" shapeId="0" xr:uid="{00000000-0006-0000-0800-00002F000000}">
      <text>
        <r>
          <rPr>
            <b/>
            <sz val="8"/>
            <color indexed="81"/>
            <rFont val="Tahoma"/>
            <family val="2"/>
          </rPr>
          <t>Auf einen Jahreslohn hochgerechnetes LZZFREIB in Euro, Cent
(2 Dezimalstellen)</t>
        </r>
        <r>
          <rPr>
            <sz val="8"/>
            <color indexed="81"/>
            <rFont val="Tahoma"/>
            <family val="2"/>
          </rPr>
          <t xml:space="preserve">
</t>
        </r>
      </text>
    </comment>
    <comment ref="N52" authorId="0" shapeId="0" xr:uid="{00000000-0006-0000-0800-000030000000}">
      <text>
        <r>
          <rPr>
            <b/>
            <sz val="8"/>
            <color indexed="81"/>
            <rFont val="Tahoma"/>
            <family val="2"/>
          </rPr>
          <t>Auf einen Jahreslohn hochgerechnetes LZZHINZU in Euro, Cent
(2 Dezimalstellen)</t>
        </r>
        <r>
          <rPr>
            <sz val="8"/>
            <color indexed="81"/>
            <rFont val="Tahoma"/>
            <family val="2"/>
          </rPr>
          <t xml:space="preserve">
</t>
        </r>
      </text>
    </comment>
    <comment ref="N53" authorId="0" shapeId="0" xr:uid="{00000000-0006-0000-0800-000031000000}">
      <text>
        <r>
          <rPr>
            <b/>
            <sz val="8"/>
            <color indexed="81"/>
            <rFont val="Tahoma"/>
            <family val="2"/>
          </rPr>
          <t>eingetragener Faktor mit drei Nachkommastellen</t>
        </r>
      </text>
    </comment>
    <comment ref="N55" authorId="0" shapeId="0" xr:uid="{00000000-0006-0000-0800-000032000000}">
      <text>
        <r>
          <rPr>
            <b/>
            <sz val="8"/>
            <color indexed="81"/>
            <rFont val="Tahoma"/>
            <family val="2"/>
          </rPr>
          <t>Freibeträge für Versorgungsbezüge, Altersentlastungsbetrag
(§ 39 b Absatz 2 Satz 3 EStG)</t>
        </r>
      </text>
    </comment>
    <comment ref="N56" authorId="0" shapeId="0" xr:uid="{00000000-0006-0000-0800-000033000000}">
      <text>
        <r>
          <rPr>
            <b/>
            <sz val="8"/>
            <color indexed="81"/>
            <rFont val="Tahoma"/>
            <family val="2"/>
          </rPr>
          <t>Nummer der Tabellenwerte für Versorgungsparameter</t>
        </r>
      </text>
    </comment>
    <comment ref="N57" authorId="0" shapeId="0" xr:uid="{00000000-0006-0000-0800-000034000000}">
      <text>
        <r>
          <rPr>
            <b/>
            <sz val="8"/>
            <color indexed="81"/>
            <rFont val="Tahoma"/>
            <family val="2"/>
          </rPr>
          <t>Tabelle für die Prozentsätze des Versorgungsfreibetrags</t>
        </r>
      </text>
    </comment>
    <comment ref="N58" authorId="0" shapeId="0" xr:uid="{00000000-0006-0000-0800-000035000000}">
      <text>
        <r>
          <rPr>
            <b/>
            <sz val="8"/>
            <color indexed="81"/>
            <rFont val="Tahoma"/>
            <family val="2"/>
          </rPr>
          <t>Tabelle für die Höchstbeträge des Versorgungsfreibetrags</t>
        </r>
      </text>
    </comment>
    <comment ref="N59" authorId="0" shapeId="0" xr:uid="{00000000-0006-0000-0800-000036000000}">
      <text>
        <r>
          <rPr>
            <b/>
            <sz val="8"/>
            <color indexed="81"/>
            <rFont val="Tahoma"/>
            <family val="2"/>
          </rPr>
          <t>Tabelle für die Zuschläge des Versorgungsfreibetrags</t>
        </r>
      </text>
    </comment>
    <comment ref="N60" authorId="0" shapeId="0" xr:uid="{00000000-0006-0000-0800-000037000000}">
      <text>
        <r>
          <rPr>
            <b/>
            <sz val="8"/>
            <color indexed="81"/>
            <rFont val="Tahoma"/>
            <family val="2"/>
          </rPr>
          <t>Bemessungsgrundlage für den Versorgungsfreibetrag in Cent</t>
        </r>
        <r>
          <rPr>
            <sz val="8"/>
            <color indexed="81"/>
            <rFont val="Tahoma"/>
            <family val="2"/>
          </rPr>
          <t xml:space="preserve">
</t>
        </r>
      </text>
    </comment>
    <comment ref="N61" authorId="0" shapeId="0" xr:uid="{00000000-0006-0000-0800-000038000000}">
      <text>
        <r>
          <rPr>
            <b/>
            <sz val="8"/>
            <color indexed="81"/>
            <rFont val="Tahoma"/>
            <family val="2"/>
          </rPr>
          <t>Maßgeblicher maximaler Versorgungsfreibetrag in Euro</t>
        </r>
        <r>
          <rPr>
            <sz val="8"/>
            <color indexed="81"/>
            <rFont val="Tahoma"/>
            <family val="2"/>
          </rPr>
          <t xml:space="preserve">
</t>
        </r>
      </text>
    </comment>
    <comment ref="N62" authorId="0" shapeId="0" xr:uid="{00000000-0006-0000-0800-000039000000}">
      <text>
        <r>
          <rPr>
            <b/>
            <sz val="8"/>
            <color indexed="81"/>
            <rFont val="Tahoma"/>
            <family val="2"/>
          </rPr>
          <t>Zuschlag zum Versorgungsfreibetrag in Euro</t>
        </r>
      </text>
    </comment>
    <comment ref="N63" authorId="0" shapeId="0" xr:uid="{00000000-0006-0000-0800-00003A000000}">
      <text>
        <r>
          <rPr>
            <b/>
            <sz val="8"/>
            <color indexed="81"/>
            <rFont val="Tahoma"/>
            <family val="2"/>
          </rPr>
          <t>Versorgungsfreibetrag in Euro, Cent (2 Dezimalstellen)</t>
        </r>
        <r>
          <rPr>
            <sz val="8"/>
            <color indexed="81"/>
            <rFont val="Tahoma"/>
            <family val="2"/>
          </rPr>
          <t xml:space="preserve">
</t>
        </r>
      </text>
    </comment>
    <comment ref="N64" authorId="0" shapeId="0" xr:uid="{00000000-0006-0000-0800-00003B000000}">
      <text>
        <r>
          <rPr>
            <b/>
            <sz val="8"/>
            <color indexed="81"/>
            <rFont val="Tahoma"/>
            <family val="2"/>
          </rPr>
          <t>Versorgungsfreibetrag in Euro, Cent (2 Dezimalstellen)</t>
        </r>
        <r>
          <rPr>
            <sz val="8"/>
            <color indexed="81"/>
            <rFont val="Tahoma"/>
            <family val="2"/>
          </rPr>
          <t xml:space="preserve">
</t>
        </r>
      </text>
    </comment>
    <comment ref="N65" authorId="0" shapeId="0" xr:uid="{00000000-0006-0000-0800-00003C000000}">
      <text>
        <r>
          <rPr>
            <b/>
            <sz val="8"/>
            <color indexed="81"/>
            <rFont val="Tahoma"/>
            <family val="2"/>
          </rPr>
          <t>Maßgeblicher maximaler Zuschlag zum Versorgungsfreibetrag
in Euro, Cent (2 Dezimalstellen)</t>
        </r>
        <r>
          <rPr>
            <sz val="8"/>
            <color indexed="81"/>
            <rFont val="Tahoma"/>
            <family val="2"/>
          </rPr>
          <t xml:space="preserve">
</t>
        </r>
      </text>
    </comment>
    <comment ref="N66" authorId="0" shapeId="0" xr:uid="{00000000-0006-0000-0800-00003D000000}">
      <text>
        <r>
          <rPr>
            <b/>
            <sz val="8"/>
            <color indexed="81"/>
            <rFont val="Tahoma"/>
            <family val="2"/>
          </rPr>
          <t>Zuschlag zum Versorgungsfreibetrag in Euro</t>
        </r>
      </text>
    </comment>
    <comment ref="N68" authorId="0" shapeId="0" xr:uid="{00000000-0006-0000-0800-00003E000000}">
      <text>
        <r>
          <rPr>
            <b/>
            <sz val="8"/>
            <color indexed="81"/>
            <rFont val="Tahoma"/>
            <family val="2"/>
          </rPr>
          <t>Altersentlastungsbetrag (§39b Absatz 2 Satz 3 EStG)</t>
        </r>
      </text>
    </comment>
    <comment ref="N69" authorId="0" shapeId="0" xr:uid="{00000000-0006-0000-0800-00003F000000}">
      <text>
        <r>
          <rPr>
            <b/>
            <sz val="8"/>
            <color indexed="81"/>
            <rFont val="Tahoma"/>
            <family val="2"/>
          </rPr>
          <t>Nummer der Tabellenwerte für Parameter bei Altersentlastungsbetrag</t>
        </r>
      </text>
    </comment>
    <comment ref="N70" authorId="0" shapeId="0" xr:uid="{00000000-0006-0000-0800-000040000000}">
      <text>
        <r>
          <rPr>
            <b/>
            <sz val="8"/>
            <color indexed="81"/>
            <rFont val="Tahoma"/>
            <family val="2"/>
          </rPr>
          <t>Tabelle für die Prozentsätze des Altersentlastungsbetrags</t>
        </r>
      </text>
    </comment>
    <comment ref="N71" authorId="0" shapeId="0" xr:uid="{00000000-0006-0000-0800-000041000000}">
      <text>
        <r>
          <rPr>
            <b/>
            <sz val="8"/>
            <color indexed="81"/>
            <rFont val="Tahoma"/>
            <family val="2"/>
          </rPr>
          <t>Tabelle für die Höchstbeträge des Altersentlastungsbetrags</t>
        </r>
      </text>
    </comment>
    <comment ref="N72" authorId="0" shapeId="0" xr:uid="{00000000-0006-0000-0800-000042000000}">
      <text>
        <r>
          <rPr>
            <b/>
            <sz val="8"/>
            <color indexed="81"/>
            <rFont val="Tahoma"/>
            <family val="2"/>
          </rPr>
          <t>Bemessungsgrundlage für Altersentlastungsbetrag in Euro, Cent
(2 Dezimalstellen)</t>
        </r>
      </text>
    </comment>
    <comment ref="N73" authorId="0" shapeId="0" xr:uid="{00000000-0006-0000-0800-000043000000}">
      <text>
        <r>
          <rPr>
            <b/>
            <sz val="8"/>
            <color indexed="81"/>
            <rFont val="Tahoma"/>
            <family val="2"/>
          </rPr>
          <t>Altersentlastungsbetrag in Euro, Cent (2 Dezimalstellen)</t>
        </r>
        <r>
          <rPr>
            <sz val="8"/>
            <color indexed="81"/>
            <rFont val="Tahoma"/>
            <family val="2"/>
          </rPr>
          <t xml:space="preserve">
</t>
        </r>
      </text>
    </comment>
    <comment ref="N74" authorId="0" shapeId="0" xr:uid="{00000000-0006-0000-0800-000044000000}">
      <text>
        <r>
          <rPr>
            <b/>
            <sz val="8"/>
            <color indexed="81"/>
            <rFont val="Tahoma"/>
            <family val="2"/>
          </rPr>
          <t>Maximaler Altersentlastungsbetrag in Euro</t>
        </r>
      </text>
    </comment>
    <comment ref="N75" authorId="0" shapeId="0" xr:uid="{00000000-0006-0000-0800-000045000000}">
      <text>
        <r>
          <rPr>
            <b/>
            <sz val="8"/>
            <color indexed="81"/>
            <rFont val="Tahoma"/>
            <family val="2"/>
          </rPr>
          <t>Altersentlastungsbetrag in Euro, Cent (2 Dezimalstellen)</t>
        </r>
        <r>
          <rPr>
            <sz val="8"/>
            <color indexed="81"/>
            <rFont val="Tahoma"/>
            <family val="2"/>
          </rPr>
          <t xml:space="preserve">
</t>
        </r>
      </text>
    </comment>
    <comment ref="N77" authorId="0" shapeId="0" xr:uid="{00000000-0006-0000-0800-000046000000}">
      <text>
        <r>
          <rPr>
            <b/>
            <sz val="8"/>
            <color indexed="81"/>
            <rFont val="Tahoma"/>
            <family val="2"/>
          </rPr>
          <t>Ermittlung des Jahresarbeitslohns nach Abzug der Freibeträge nach § 39 b Absatz 2 Satz 3 und 4 EStG</t>
        </r>
      </text>
    </comment>
    <comment ref="N78" authorId="0" shapeId="0" xr:uid="{00000000-0006-0000-0800-000047000000}">
      <text>
        <r>
          <rPr>
            <b/>
            <sz val="8"/>
            <color indexed="81"/>
            <rFont val="Tahoma"/>
            <family val="2"/>
          </rPr>
          <t>Auf einen Jahreslohn hochgerechnetes RE4 in Euro, Cent
(2 Dezimalstellen) nach Abzug der Freibeträge nach
§ 39 b Absatz 2 Satz 3 und 4 EStG</t>
        </r>
      </text>
    </comment>
    <comment ref="N79" authorId="0" shapeId="0" xr:uid="{00000000-0006-0000-0800-000048000000}">
      <text>
        <r>
          <rPr>
            <b/>
            <sz val="8"/>
            <color indexed="81"/>
            <rFont val="Tahoma"/>
            <family val="2"/>
          </rPr>
          <t>Auf einen Jahreslohn hochgerechnetes RE4 in Euro, Cent
(2 Dezimalstellen) nach Abzug der Freibeträge nach
§ 39 b Absatz 2 Satz 3 und 4 EStG</t>
        </r>
      </text>
    </comment>
    <comment ref="N80" authorId="0" shapeId="0" xr:uid="{00000000-0006-0000-0800-000049000000}">
      <text>
        <r>
          <rPr>
            <b/>
            <sz val="8"/>
            <color indexed="81"/>
            <rFont val="Tahoma"/>
            <family val="2"/>
          </rPr>
          <t>Auf einen Jahreslohn hochgerechnetes RE4, ggf. nach Abzug der Entschädigungen i.S.d. § 24 Nummer 1 EStG in Euro, Cent (2 Dezimalstellen)</t>
        </r>
      </text>
    </comment>
    <comment ref="N81" authorId="0" shapeId="0" xr:uid="{00000000-0006-0000-0800-00004A000000}">
      <text>
        <r>
          <rPr>
            <b/>
            <sz val="8"/>
            <color indexed="81"/>
            <rFont val="Tahoma"/>
            <family val="2"/>
          </rPr>
          <t>Auf einen Jahreslohn hochgerechnetes VBEZ abzüglich FVB
in Euro, Cent (2 Dezimalstellen)</t>
        </r>
      </text>
    </comment>
    <comment ref="N82" authorId="0" shapeId="0" xr:uid="{00000000-0006-0000-0800-00004B000000}">
      <text>
        <r>
          <rPr>
            <b/>
            <sz val="8"/>
            <color indexed="81"/>
            <rFont val="Tahoma"/>
            <family val="2"/>
          </rPr>
          <t>Auf einen Jahreslohn hochgerechnetes VBEZ abzüglich FVB
in Euro, Cent (2 Dezimalstellen)</t>
        </r>
      </text>
    </comment>
    <comment ref="N84" authorId="0" shapeId="0" xr:uid="{00000000-0006-0000-0800-00004C000000}">
      <text>
        <r>
          <rPr>
            <b/>
            <sz val="8"/>
            <color indexed="81"/>
            <rFont val="Tahoma"/>
            <family val="2"/>
          </rPr>
          <t>Berechnung für laufende Lohnzahlungszeiträume</t>
        </r>
        <r>
          <rPr>
            <sz val="8"/>
            <color indexed="81"/>
            <rFont val="Tahoma"/>
            <family val="2"/>
          </rPr>
          <t xml:space="preserve">
</t>
        </r>
      </text>
    </comment>
    <comment ref="N86" authorId="0" shapeId="0" xr:uid="{00000000-0006-0000-0800-00004D000000}">
      <text>
        <r>
          <rPr>
            <b/>
            <sz val="8"/>
            <color indexed="81"/>
            <rFont val="Tahoma"/>
            <family val="2"/>
          </rPr>
          <t>Ermittlung der festen Tabellenfreibeträge (ohne
Vorsorgepauschale)</t>
        </r>
        <r>
          <rPr>
            <sz val="8"/>
            <color indexed="81"/>
            <rFont val="Tahoma"/>
            <family val="2"/>
          </rPr>
          <t xml:space="preserve">
</t>
        </r>
      </text>
    </comment>
    <comment ref="N87" authorId="0" shapeId="0" xr:uid="{00000000-0006-0000-0800-00004E000000}">
      <text>
        <r>
          <rPr>
            <b/>
            <sz val="8"/>
            <color indexed="81"/>
            <rFont val="Tahoma"/>
            <family val="2"/>
          </rPr>
          <t>Kennzahl für die Einkommensteuer-Tarifarten:
1 = Grundtarif
2 = Splittingverfahren</t>
        </r>
        <r>
          <rPr>
            <sz val="8"/>
            <color indexed="81"/>
            <rFont val="Tahoma"/>
            <family val="2"/>
          </rPr>
          <t xml:space="preserve">
</t>
        </r>
      </text>
    </comment>
    <comment ref="N88" authorId="0" shapeId="0" xr:uid="{00000000-0006-0000-0800-00004F000000}">
      <text>
        <r>
          <rPr>
            <b/>
            <sz val="8"/>
            <color indexed="81"/>
            <rFont val="Tahoma"/>
            <family val="2"/>
          </rPr>
          <t>Arbeitnehmer-Pauschbetrag / Werbungskosten-Pauschbetrag in Euro</t>
        </r>
      </text>
    </comment>
    <comment ref="N89" authorId="0" shapeId="0" xr:uid="{00000000-0006-0000-0800-000050000000}">
      <text>
        <r>
          <rPr>
            <b/>
            <sz val="8"/>
            <color indexed="81"/>
            <rFont val="Tahoma"/>
            <family val="2"/>
          </rPr>
          <t>Entlastungsbetrag für Alleinerziehende in Euro</t>
        </r>
      </text>
    </comment>
    <comment ref="N90" authorId="0" shapeId="0" xr:uid="{00000000-0006-0000-0800-000051000000}">
      <text>
        <r>
          <rPr>
            <b/>
            <sz val="8"/>
            <color indexed="81"/>
            <rFont val="Tahoma"/>
            <family val="2"/>
          </rPr>
          <t>Sonderausgaben-Pauschbetrag in Euro</t>
        </r>
      </text>
    </comment>
    <comment ref="N91" authorId="0" shapeId="0" xr:uid="{00000000-0006-0000-0800-000052000000}">
      <text>
        <r>
          <rPr>
            <b/>
            <sz val="8"/>
            <color indexed="81"/>
            <rFont val="Tahoma"/>
            <family val="2"/>
          </rPr>
          <t>Summe der Freibeträge für Kinder in Euro</t>
        </r>
      </text>
    </comment>
    <comment ref="N92" authorId="0" shapeId="0" xr:uid="{00000000-0006-0000-0800-000053000000}">
      <text>
        <r>
          <rPr>
            <b/>
            <sz val="8"/>
            <color indexed="81"/>
            <rFont val="Tahoma"/>
            <family val="2"/>
          </rPr>
          <t>Feste Tabellenfreibeträge (ohne Vorsorgepauschale) in Euro, Cent
(2 Dezimalstellen)</t>
        </r>
        <r>
          <rPr>
            <sz val="8"/>
            <color indexed="81"/>
            <rFont val="Tahoma"/>
            <family val="2"/>
          </rPr>
          <t xml:space="preserve">
</t>
        </r>
      </text>
    </comment>
    <comment ref="N94" authorId="0" shapeId="0" xr:uid="{00000000-0006-0000-0800-000054000000}">
      <text>
        <r>
          <rPr>
            <b/>
            <sz val="8"/>
            <color indexed="81"/>
            <rFont val="Tahoma"/>
            <family val="2"/>
          </rPr>
          <t>Ermittlung Jahreslohnsteuer</t>
        </r>
      </text>
    </comment>
    <comment ref="N96" authorId="0" shapeId="0" xr:uid="{00000000-0006-0000-0800-000055000000}">
      <text>
        <r>
          <rPr>
            <b/>
            <sz val="8"/>
            <color indexed="81"/>
            <rFont val="Tahoma"/>
            <family val="2"/>
          </rPr>
          <t>Vorsorgepauschale (§39b Absatz 2 Satz 5 Nummer 3 EStG)
nach dem Bürgerentlastungsgesetz Krankenversicherung</t>
        </r>
      </text>
    </comment>
    <comment ref="N97" authorId="0" shapeId="0" xr:uid="{00000000-0006-0000-0800-000056000000}">
      <text>
        <r>
          <rPr>
            <b/>
            <sz val="8"/>
            <color indexed="81"/>
            <rFont val="Tahoma"/>
            <family val="2"/>
          </rPr>
          <t>Zwischenwert 1 bei der Berechnung der Vorsorgepauschale in Euro, Cent (2 Dezimalstellen)</t>
        </r>
      </text>
    </comment>
    <comment ref="N98" authorId="0" shapeId="0" xr:uid="{00000000-0006-0000-0800-000057000000}">
      <text>
        <r>
          <rPr>
            <b/>
            <sz val="8"/>
            <color indexed="81"/>
            <rFont val="Tahoma"/>
            <family val="2"/>
          </rPr>
          <t>Auf einen Jahreslohn hochgerechnetes RE4, ggf. nach Abzug der Entschädigungen i.S.d. § 24 Nummer 1 EStG in Euro, Cent (2 Dezimalstellen)</t>
        </r>
      </text>
    </comment>
    <comment ref="N99" authorId="0" shapeId="0" xr:uid="{00000000-0006-0000-0800-000058000000}">
      <text>
        <r>
          <rPr>
            <b/>
            <sz val="8"/>
            <color indexed="81"/>
            <rFont val="Tahoma"/>
            <family val="2"/>
          </rPr>
          <t>Zwischenwert 1 bei der Berechnung der Vorsorgepauschale in Euro, Cent (2 Dezimalstellen)</t>
        </r>
      </text>
    </comment>
    <comment ref="N100" authorId="0" shapeId="0" xr:uid="{00000000-0006-0000-0800-000059000000}">
      <text>
        <r>
          <rPr>
            <b/>
            <sz val="8"/>
            <color indexed="81"/>
            <rFont val="Tahoma"/>
            <family val="2"/>
          </rPr>
          <t>Zwischenwert 1 bei der Berechnung der Vorsorgepauschale in Euro, Cent (2 Dezimalstellen)</t>
        </r>
      </text>
    </comment>
    <comment ref="N101" authorId="0" shapeId="0" xr:uid="{00000000-0006-0000-0800-00005A000000}">
      <text>
        <r>
          <rPr>
            <b/>
            <sz val="8"/>
            <color indexed="81"/>
            <rFont val="Tahoma"/>
            <family val="2"/>
          </rPr>
          <t>Zwischenwert 2 bei der Berechnung der Vorsorgepauschale in Euro, Cent (2 Dezimalstellen)</t>
        </r>
      </text>
    </comment>
    <comment ref="N102" authorId="0" shapeId="0" xr:uid="{00000000-0006-0000-0800-00005B000000}">
      <text>
        <r>
          <rPr>
            <b/>
            <sz val="8"/>
            <color indexed="81"/>
            <rFont val="Tahoma"/>
            <family val="2"/>
          </rPr>
          <t>Höchstbetrag der Mindestvorsorgepauschale für die Kranken- und
Pflegeversicherung in Euro, Cent (2 Dezimalstellen)
(2 Dezimalstellen)</t>
        </r>
      </text>
    </comment>
    <comment ref="N103" authorId="0" shapeId="0" xr:uid="{00000000-0006-0000-0800-00005C000000}">
      <text>
        <r>
          <rPr>
            <b/>
            <sz val="8"/>
            <color indexed="81"/>
            <rFont val="Tahoma"/>
            <family val="2"/>
          </rPr>
          <t>Zwischenwert 2 bei der Berechnung der Vorsorgepauschale in Euro, Cent (2 Dezimalstellen)</t>
        </r>
      </text>
    </comment>
    <comment ref="N104" authorId="0" shapeId="0" xr:uid="{00000000-0006-0000-0800-00005D000000}">
      <text>
        <r>
          <rPr>
            <b/>
            <sz val="8"/>
            <color indexed="81"/>
            <rFont val="Tahoma"/>
            <family val="2"/>
          </rPr>
          <t xml:space="preserve">Vorsorgepauschale mit Teilbeträgen für die Rentenversicherung
sowie der Mindestvorsorgepauschale für die Kranken- und Pflege-versicherung in Euro, Cent (2 Dezimalstellen)
</t>
        </r>
      </text>
    </comment>
    <comment ref="N106" authorId="0" shapeId="0" xr:uid="{00000000-0006-0000-0800-00005E000000}">
      <text>
        <r>
          <rPr>
            <b/>
            <sz val="8"/>
            <color indexed="81"/>
            <rFont val="Tahoma"/>
            <family val="2"/>
          </rPr>
          <t>Vorsorgepauschale (§ 39b Absatz 2 Satz 5 Nummer 3 EStG) Vergleichsberechnung zur Mindestvorsorgepauschale</t>
        </r>
        <r>
          <rPr>
            <sz val="8"/>
            <color indexed="81"/>
            <rFont val="Tahoma"/>
            <family val="2"/>
          </rPr>
          <t xml:space="preserve">
</t>
        </r>
      </text>
    </comment>
    <comment ref="N107" authorId="0" shapeId="0" xr:uid="{00000000-0006-0000-0800-00005F000000}">
      <text>
        <r>
          <rPr>
            <b/>
            <sz val="8"/>
            <color indexed="81"/>
            <rFont val="Tahoma"/>
            <family val="2"/>
          </rPr>
          <t>Auf einen Jahreslohn hochgerechnetes RE4, ggf. nach Abzug der Entschädigungen i.S.d. § 24 Nummer 1 EStG in Euro, Cent (2 Dezimalstellen)</t>
        </r>
      </text>
    </comment>
    <comment ref="N108" authorId="0" shapeId="0" xr:uid="{00000000-0006-0000-0800-000060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09" authorId="0" shapeId="0" xr:uid="{00000000-0006-0000-0800-000061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10" authorId="0" shapeId="0" xr:uid="{00000000-0006-0000-0800-000062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11" authorId="0" shapeId="0" xr:uid="{00000000-0006-0000-0800-000063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12" authorId="0" shapeId="0" xr:uid="{00000000-0006-0000-0800-000064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13" authorId="0" shapeId="0" xr:uid="{00000000-0006-0000-0800-000065000000}">
      <text>
        <r>
          <rPr>
            <b/>
            <sz val="8"/>
            <color indexed="81"/>
            <rFont val="Tahoma"/>
            <family val="2"/>
          </rPr>
          <t xml:space="preserve">Vorsorgepauschale mit Teilbeträgen für die Rentenversicherung
sowie die gesetzliche Kranken- und soziale Pflegeversicherung
nach fiktiven Beträgen oder ggf. für die private Basiskrankenversicherung und private Pflege-Pflichtversicherung in Euro, Cent (2 Dezimalstellen)
</t>
        </r>
      </text>
    </comment>
    <comment ref="N115" authorId="0" shapeId="0" xr:uid="{00000000-0006-0000-0800-000066000000}">
      <text>
        <r>
          <rPr>
            <b/>
            <sz val="8"/>
            <color indexed="81"/>
            <rFont val="Tahoma"/>
            <family val="2"/>
          </rPr>
          <t>Vorsorgepauschale (§39b Absatz 2 Satz 5 Nummer 3 EStG)
nach dem Bürgerentlastungsgesetz Krankenversicherung</t>
        </r>
      </text>
    </comment>
    <comment ref="N116" authorId="0" shapeId="0" xr:uid="{00000000-0006-0000-0800-000067000000}">
      <text>
        <r>
          <rPr>
            <b/>
            <sz val="8"/>
            <color indexed="81"/>
            <rFont val="Tahoma"/>
            <family val="2"/>
          </rPr>
          <t xml:space="preserve">Vorsorgepauschale mit Teilbeträgen für die Rentenversicherung
sowie die gesetzliche Kranken- und soziale Pflegeversicherung
nach fiktiven Beträgen oder ggf. für die private Basiskrankenversicherung und private Pflege-Pflichtversicherung in Euro, Cent (2 Dezimalstellen)
</t>
        </r>
      </text>
    </comment>
    <comment ref="N118" authorId="0" shapeId="0" xr:uid="{00000000-0006-0000-0800-000068000000}">
      <text>
        <r>
          <rPr>
            <b/>
            <sz val="8"/>
            <color indexed="81"/>
            <rFont val="Tahoma"/>
            <family val="2"/>
          </rPr>
          <t>Ermittlung Jahreslohnsteuer</t>
        </r>
      </text>
    </comment>
    <comment ref="N119" authorId="0" shapeId="0" xr:uid="{00000000-0006-0000-0800-000069000000}">
      <text>
        <r>
          <rPr>
            <b/>
            <sz val="8"/>
            <color indexed="81"/>
            <rFont val="Tahoma"/>
            <family val="2"/>
          </rPr>
          <t>Zu versteuerndes Einkommen in Euro, Cent (2 Dezimalstellen)</t>
        </r>
      </text>
    </comment>
    <comment ref="N122" authorId="0" shapeId="0" xr:uid="{00000000-0006-0000-0800-00006A000000}">
      <text>
        <r>
          <rPr>
            <b/>
            <sz val="8"/>
            <color indexed="81"/>
            <rFont val="Tahoma"/>
            <family val="2"/>
          </rPr>
          <t>Zu versteuerndes Einkommen in Euro, Cent (2 Dezimalstellen)</t>
        </r>
      </text>
    </comment>
    <comment ref="N124" authorId="0" shapeId="0" xr:uid="{00000000-0006-0000-0800-00006B000000}">
      <text>
        <r>
          <rPr>
            <b/>
            <sz val="8"/>
            <color indexed="81"/>
            <rFont val="Tahoma"/>
            <family val="2"/>
          </rPr>
          <t>Tarifliche Einkommensteuer (§ 32a EStG)</t>
        </r>
      </text>
    </comment>
    <comment ref="N125" authorId="0" shapeId="0" xr:uid="{00000000-0006-0000-0800-00006C000000}">
      <text>
        <r>
          <rPr>
            <b/>
            <sz val="8"/>
            <color indexed="81"/>
            <rFont val="Tahoma"/>
            <family val="2"/>
          </rPr>
          <t xml:space="preserve">Tarifliche Einkommensteuer in Euro
</t>
        </r>
        <r>
          <rPr>
            <sz val="8"/>
            <color indexed="81"/>
            <rFont val="Tahoma"/>
            <family val="2"/>
          </rPr>
          <t xml:space="preserve">
</t>
        </r>
      </text>
    </comment>
    <comment ref="N126" authorId="0" shapeId="0" xr:uid="{00000000-0006-0000-0800-00006D000000}">
      <text>
        <r>
          <rPr>
            <b/>
            <sz val="8"/>
            <color indexed="81"/>
            <rFont val="Tahoma"/>
            <family val="2"/>
          </rPr>
          <t>Gem. § 32 a Absatz 1 EStG (6 Dezimalstellen)</t>
        </r>
        <r>
          <rPr>
            <sz val="8"/>
            <color indexed="81"/>
            <rFont val="Tahoma"/>
            <family val="2"/>
          </rPr>
          <t xml:space="preserve">
</t>
        </r>
      </text>
    </comment>
    <comment ref="N127" authorId="0" shapeId="0" xr:uid="{00000000-0006-0000-0800-00006E000000}">
      <text>
        <r>
          <rPr>
            <b/>
            <sz val="8"/>
            <color indexed="81"/>
            <rFont val="Tahoma"/>
            <family val="2"/>
          </rPr>
          <t>Rechenwert in Gleitkommadarstellung</t>
        </r>
        <r>
          <rPr>
            <sz val="8"/>
            <color indexed="81"/>
            <rFont val="Tahoma"/>
            <family val="2"/>
          </rPr>
          <t xml:space="preserve">
</t>
        </r>
      </text>
    </comment>
    <comment ref="N128" authorId="0" shapeId="0" xr:uid="{00000000-0006-0000-0800-00006F000000}">
      <text>
        <r>
          <rPr>
            <b/>
            <sz val="8"/>
            <color indexed="81"/>
            <rFont val="Tahoma"/>
            <family val="2"/>
          </rPr>
          <t>Rechenwert in Gleitkommadarstellung</t>
        </r>
        <r>
          <rPr>
            <sz val="8"/>
            <color indexed="81"/>
            <rFont val="Tahoma"/>
            <family val="2"/>
          </rPr>
          <t xml:space="preserve">
</t>
        </r>
      </text>
    </comment>
    <comment ref="N129" authorId="0" shapeId="0" xr:uid="{00000000-0006-0000-0800-000070000000}">
      <text>
        <r>
          <rPr>
            <b/>
            <sz val="8"/>
            <color indexed="81"/>
            <rFont val="Tahoma"/>
            <family val="2"/>
          </rPr>
          <t xml:space="preserve">Tarifliche Einkommensteuer in Euro
</t>
        </r>
        <r>
          <rPr>
            <sz val="8"/>
            <color indexed="81"/>
            <rFont val="Tahoma"/>
            <family val="2"/>
          </rPr>
          <t xml:space="preserve">
</t>
        </r>
      </text>
    </comment>
    <comment ref="N130" authorId="0" shapeId="0" xr:uid="{00000000-0006-0000-0800-000071000000}">
      <text>
        <r>
          <rPr>
            <b/>
            <sz val="8"/>
            <color indexed="81"/>
            <rFont val="Tahoma"/>
            <family val="2"/>
          </rPr>
          <t>Gem. § 32 a Absatz 1 EStG (6 Dezimalstellen)</t>
        </r>
        <r>
          <rPr>
            <sz val="8"/>
            <color indexed="81"/>
            <rFont val="Tahoma"/>
            <family val="2"/>
          </rPr>
          <t xml:space="preserve">
</t>
        </r>
      </text>
    </comment>
    <comment ref="N131" authorId="0" shapeId="0" xr:uid="{00000000-0006-0000-0800-000072000000}">
      <text>
        <r>
          <rPr>
            <b/>
            <sz val="8"/>
            <color indexed="81"/>
            <rFont val="Tahoma"/>
            <family val="2"/>
          </rPr>
          <t>Rechenwert in Gleitkommadarstellung</t>
        </r>
        <r>
          <rPr>
            <sz val="8"/>
            <color indexed="81"/>
            <rFont val="Tahoma"/>
            <family val="2"/>
          </rPr>
          <t xml:space="preserve">
</t>
        </r>
      </text>
    </comment>
    <comment ref="N132" authorId="0" shapeId="0" xr:uid="{00000000-0006-0000-0800-000073000000}">
      <text>
        <r>
          <rPr>
            <b/>
            <sz val="8"/>
            <color indexed="81"/>
            <rFont val="Tahoma"/>
            <family val="2"/>
          </rPr>
          <t>Rechenwert in Gleitkommadarstellung</t>
        </r>
        <r>
          <rPr>
            <sz val="8"/>
            <color indexed="81"/>
            <rFont val="Tahoma"/>
            <family val="2"/>
          </rPr>
          <t xml:space="preserve">
</t>
        </r>
      </text>
    </comment>
    <comment ref="N133" authorId="0" shapeId="0" xr:uid="{00000000-0006-0000-0800-000074000000}">
      <text>
        <r>
          <rPr>
            <b/>
            <sz val="8"/>
            <color indexed="81"/>
            <rFont val="Tahoma"/>
            <family val="2"/>
          </rPr>
          <t>Rechenwert in Gleitkommadarstellung</t>
        </r>
        <r>
          <rPr>
            <sz val="8"/>
            <color indexed="81"/>
            <rFont val="Tahoma"/>
            <family val="2"/>
          </rPr>
          <t xml:space="preserve">
</t>
        </r>
      </text>
    </comment>
    <comment ref="N134" authorId="0" shapeId="0" xr:uid="{00000000-0006-0000-0800-000075000000}">
      <text>
        <r>
          <rPr>
            <b/>
            <sz val="8"/>
            <color indexed="81"/>
            <rFont val="Tahoma"/>
            <family val="2"/>
          </rPr>
          <t xml:space="preserve">Tarifliche Einkommensteuer in Euro
</t>
        </r>
        <r>
          <rPr>
            <sz val="8"/>
            <color indexed="81"/>
            <rFont val="Tahoma"/>
            <family val="2"/>
          </rPr>
          <t xml:space="preserve">
</t>
        </r>
      </text>
    </comment>
    <comment ref="N135" authorId="0" shapeId="0" xr:uid="{00000000-0006-0000-0800-000076000000}">
      <text>
        <r>
          <rPr>
            <b/>
            <sz val="8"/>
            <color indexed="81"/>
            <rFont val="Tahoma"/>
            <family val="2"/>
          </rPr>
          <t xml:space="preserve">Tarifliche Einkommensteuer in Euro
</t>
        </r>
        <r>
          <rPr>
            <sz val="8"/>
            <color indexed="81"/>
            <rFont val="Tahoma"/>
            <family val="2"/>
          </rPr>
          <t xml:space="preserve">
</t>
        </r>
      </text>
    </comment>
    <comment ref="N136" authorId="0" shapeId="0" xr:uid="{00000000-0006-0000-0800-000077000000}">
      <text>
        <r>
          <rPr>
            <b/>
            <sz val="8"/>
            <color indexed="81"/>
            <rFont val="Tahoma"/>
            <family val="2"/>
          </rPr>
          <t xml:space="preserve">Tarifliche Einkommensteuer in Euro
</t>
        </r>
        <r>
          <rPr>
            <sz val="8"/>
            <color indexed="81"/>
            <rFont val="Tahoma"/>
            <family val="2"/>
          </rPr>
          <t xml:space="preserve">
</t>
        </r>
      </text>
    </comment>
    <comment ref="N137" authorId="0" shapeId="0" xr:uid="{00000000-0006-0000-0800-000078000000}">
      <text>
        <r>
          <rPr>
            <b/>
            <sz val="8"/>
            <color indexed="81"/>
            <rFont val="Tahoma"/>
            <family val="2"/>
          </rPr>
          <t xml:space="preserve">Tarifliche Einkommensteuer in Euro
</t>
        </r>
        <r>
          <rPr>
            <sz val="8"/>
            <color indexed="81"/>
            <rFont val="Tahoma"/>
            <family val="2"/>
          </rPr>
          <t xml:space="preserve">
</t>
        </r>
      </text>
    </comment>
    <comment ref="N139" authorId="0" shapeId="0" xr:uid="{00000000-0006-0000-0800-000079000000}">
      <text>
        <r>
          <rPr>
            <b/>
            <sz val="8"/>
            <color indexed="81"/>
            <rFont val="Tahoma"/>
            <family val="2"/>
          </rPr>
          <t>Lohnsteuer für die Steuerklassen V und VI (§ 39b Absatz 2 Satz 7
EStG)</t>
        </r>
        <r>
          <rPr>
            <sz val="8"/>
            <color indexed="81"/>
            <rFont val="Tahoma"/>
            <family val="2"/>
          </rPr>
          <t xml:space="preserve">
</t>
        </r>
      </text>
    </comment>
    <comment ref="N140" authorId="0" shapeId="0" xr:uid="{00000000-0006-0000-0800-00007A000000}">
      <text>
        <r>
          <rPr>
            <b/>
            <sz val="8"/>
            <color indexed="81"/>
            <rFont val="Tahoma"/>
            <family val="2"/>
          </rPr>
          <t xml:space="preserve">Zwischenfeld zu X für die Berechnung der Steuer nach § 39b
Absatz 2 Satz 7 EStG in Euro
</t>
        </r>
      </text>
    </comment>
    <comment ref="N141" authorId="0" shapeId="0" xr:uid="{00000000-0006-0000-0800-00007B000000}">
      <text>
        <r>
          <rPr>
            <b/>
            <sz val="8"/>
            <color indexed="81"/>
            <rFont val="Tahoma"/>
            <family val="2"/>
          </rPr>
          <t>Zwischenfeld zu X für die Berechnung der Steuer nach § 39b
Absatz 2 Satz 7 EStG in Euro</t>
        </r>
      </text>
    </comment>
    <comment ref="N144" authorId="0" shapeId="0" xr:uid="{00000000-0006-0000-0800-00007C000000}">
      <text>
        <r>
          <rPr>
            <b/>
            <sz val="8"/>
            <color indexed="81"/>
            <rFont val="Tahoma"/>
            <family val="2"/>
          </rPr>
          <t>Zu versteuerndes Einkommen gem. § 32a Absatz 1 und
2 EStG in Euro, Cent (2 Dezimalstellen)</t>
        </r>
        <r>
          <rPr>
            <sz val="8"/>
            <color indexed="81"/>
            <rFont val="Tahoma"/>
            <family val="2"/>
          </rPr>
          <t xml:space="preserve">
</t>
        </r>
      </text>
    </comment>
    <comment ref="N146" authorId="0" shapeId="0" xr:uid="{00000000-0006-0000-0800-00007D000000}">
      <text>
        <r>
          <rPr>
            <b/>
            <sz val="8"/>
            <color indexed="81"/>
            <rFont val="Tahoma"/>
            <family val="2"/>
          </rPr>
          <t>Tarifliche Einkommensteuer (§ 32a EStG)</t>
        </r>
      </text>
    </comment>
    <comment ref="N147" authorId="0" shapeId="0" xr:uid="{00000000-0006-0000-0800-00007E000000}">
      <text>
        <r>
          <rPr>
            <b/>
            <sz val="8"/>
            <color indexed="81"/>
            <rFont val="Tahoma"/>
            <family val="2"/>
          </rPr>
          <t xml:space="preserve">Tarifliche Einkommensteuer in Euro
</t>
        </r>
        <r>
          <rPr>
            <sz val="8"/>
            <color indexed="81"/>
            <rFont val="Tahoma"/>
            <family val="2"/>
          </rPr>
          <t xml:space="preserve">
</t>
        </r>
      </text>
    </comment>
    <comment ref="N148" authorId="0" shapeId="0" xr:uid="{00000000-0006-0000-0800-00007F000000}">
      <text>
        <r>
          <rPr>
            <b/>
            <sz val="8"/>
            <color indexed="81"/>
            <rFont val="Tahoma"/>
            <family val="2"/>
          </rPr>
          <t>Gem. § 32 a Absatz 1 EStG (6 Dezimalstellen)</t>
        </r>
        <r>
          <rPr>
            <sz val="8"/>
            <color indexed="81"/>
            <rFont val="Tahoma"/>
            <family val="2"/>
          </rPr>
          <t xml:space="preserve">
</t>
        </r>
      </text>
    </comment>
    <comment ref="N149" authorId="0" shapeId="0" xr:uid="{00000000-0006-0000-0800-000080000000}">
      <text>
        <r>
          <rPr>
            <b/>
            <sz val="8"/>
            <color indexed="81"/>
            <rFont val="Tahoma"/>
            <family val="2"/>
          </rPr>
          <t>Rechenwert in Gleitkommadarstellung</t>
        </r>
        <r>
          <rPr>
            <sz val="8"/>
            <color indexed="81"/>
            <rFont val="Tahoma"/>
            <family val="2"/>
          </rPr>
          <t xml:space="preserve">
</t>
        </r>
      </text>
    </comment>
    <comment ref="N150" authorId="0" shapeId="0" xr:uid="{00000000-0006-0000-0800-000081000000}">
      <text>
        <r>
          <rPr>
            <b/>
            <sz val="8"/>
            <color indexed="81"/>
            <rFont val="Tahoma"/>
            <family val="2"/>
          </rPr>
          <t>Rechenwert in Gleitkommadarstellung</t>
        </r>
        <r>
          <rPr>
            <sz val="8"/>
            <color indexed="81"/>
            <rFont val="Tahoma"/>
            <family val="2"/>
          </rPr>
          <t xml:space="preserve">
</t>
        </r>
      </text>
    </comment>
    <comment ref="N151" authorId="0" shapeId="0" xr:uid="{00000000-0006-0000-0800-000082000000}">
      <text>
        <r>
          <rPr>
            <b/>
            <sz val="8"/>
            <color indexed="81"/>
            <rFont val="Tahoma"/>
            <family val="2"/>
          </rPr>
          <t xml:space="preserve">Tarifliche Einkommensteuer in Euro
</t>
        </r>
        <r>
          <rPr>
            <sz val="8"/>
            <color indexed="81"/>
            <rFont val="Tahoma"/>
            <family val="2"/>
          </rPr>
          <t xml:space="preserve">
</t>
        </r>
      </text>
    </comment>
    <comment ref="N152" authorId="0" shapeId="0" xr:uid="{00000000-0006-0000-0800-000083000000}">
      <text>
        <r>
          <rPr>
            <b/>
            <sz val="8"/>
            <color indexed="81"/>
            <rFont val="Tahoma"/>
            <family val="2"/>
          </rPr>
          <t>Gem. § 32 a Absatz 1 EStG (6 Dezimalstellen)</t>
        </r>
        <r>
          <rPr>
            <sz val="8"/>
            <color indexed="81"/>
            <rFont val="Tahoma"/>
            <family val="2"/>
          </rPr>
          <t xml:space="preserve">
</t>
        </r>
      </text>
    </comment>
    <comment ref="N153" authorId="0" shapeId="0" xr:uid="{00000000-0006-0000-0800-000084000000}">
      <text>
        <r>
          <rPr>
            <b/>
            <sz val="8"/>
            <color indexed="81"/>
            <rFont val="Tahoma"/>
            <family val="2"/>
          </rPr>
          <t>Rechenwert in Gleitkommadarstellung</t>
        </r>
        <r>
          <rPr>
            <sz val="8"/>
            <color indexed="81"/>
            <rFont val="Tahoma"/>
            <family val="2"/>
          </rPr>
          <t xml:space="preserve">
</t>
        </r>
      </text>
    </comment>
    <comment ref="N154" authorId="0" shapeId="0" xr:uid="{00000000-0006-0000-0800-000085000000}">
      <text>
        <r>
          <rPr>
            <b/>
            <sz val="8"/>
            <color indexed="81"/>
            <rFont val="Tahoma"/>
            <family val="2"/>
          </rPr>
          <t>Rechenwert in Gleitkommadarstellung</t>
        </r>
        <r>
          <rPr>
            <sz val="8"/>
            <color indexed="81"/>
            <rFont val="Tahoma"/>
            <family val="2"/>
          </rPr>
          <t xml:space="preserve">
</t>
        </r>
      </text>
    </comment>
    <comment ref="N155" authorId="0" shapeId="0" xr:uid="{00000000-0006-0000-0800-000086000000}">
      <text>
        <r>
          <rPr>
            <b/>
            <sz val="8"/>
            <color indexed="81"/>
            <rFont val="Tahoma"/>
            <family val="2"/>
          </rPr>
          <t>Rechenwert in Gleitkommadarstellung</t>
        </r>
        <r>
          <rPr>
            <sz val="8"/>
            <color indexed="81"/>
            <rFont val="Tahoma"/>
            <family val="2"/>
          </rPr>
          <t xml:space="preserve">
</t>
        </r>
      </text>
    </comment>
    <comment ref="N156" authorId="0" shapeId="0" xr:uid="{00000000-0006-0000-0800-000087000000}">
      <text>
        <r>
          <rPr>
            <b/>
            <sz val="8"/>
            <color indexed="81"/>
            <rFont val="Tahoma"/>
            <family val="2"/>
          </rPr>
          <t xml:space="preserve">Tarifliche Einkommensteuer in Euro
</t>
        </r>
        <r>
          <rPr>
            <sz val="8"/>
            <color indexed="81"/>
            <rFont val="Tahoma"/>
            <family val="2"/>
          </rPr>
          <t xml:space="preserve">
</t>
        </r>
      </text>
    </comment>
    <comment ref="N157" authorId="0" shapeId="0" xr:uid="{00000000-0006-0000-0800-000088000000}">
      <text>
        <r>
          <rPr>
            <b/>
            <sz val="8"/>
            <color indexed="81"/>
            <rFont val="Tahoma"/>
            <family val="2"/>
          </rPr>
          <t xml:space="preserve">Tarifliche Einkommensteuer in Euro
</t>
        </r>
        <r>
          <rPr>
            <sz val="8"/>
            <color indexed="81"/>
            <rFont val="Tahoma"/>
            <family val="2"/>
          </rPr>
          <t xml:space="preserve">
</t>
        </r>
      </text>
    </comment>
    <comment ref="N158" authorId="0" shapeId="0" xr:uid="{00000000-0006-0000-0800-000089000000}">
      <text>
        <r>
          <rPr>
            <b/>
            <sz val="8"/>
            <color indexed="81"/>
            <rFont val="Tahoma"/>
            <family val="2"/>
          </rPr>
          <t xml:space="preserve">Tarifliche Einkommensteuer in Euro
</t>
        </r>
        <r>
          <rPr>
            <sz val="8"/>
            <color indexed="81"/>
            <rFont val="Tahoma"/>
            <family val="2"/>
          </rPr>
          <t xml:space="preserve">
</t>
        </r>
      </text>
    </comment>
    <comment ref="N159" authorId="0" shapeId="0" xr:uid="{00000000-0006-0000-0800-00008A000000}">
      <text>
        <r>
          <rPr>
            <b/>
            <sz val="8"/>
            <color indexed="81"/>
            <rFont val="Tahoma"/>
            <family val="2"/>
          </rPr>
          <t xml:space="preserve">Tarifliche Einkommensteuer in Euro
</t>
        </r>
        <r>
          <rPr>
            <sz val="8"/>
            <color indexed="81"/>
            <rFont val="Tahoma"/>
            <family val="2"/>
          </rPr>
          <t xml:space="preserve">
</t>
        </r>
      </text>
    </comment>
    <comment ref="N160" authorId="0" shapeId="0" xr:uid="{00000000-0006-0000-0800-00008B000000}">
      <text>
        <r>
          <rPr>
            <b/>
            <sz val="8"/>
            <color indexed="81"/>
            <rFont val="Tahoma"/>
            <family val="2"/>
          </rPr>
          <t>Tarifliche Einkommensteuer auf das 1,25-fache ZX in Euro</t>
        </r>
        <r>
          <rPr>
            <sz val="8"/>
            <color indexed="81"/>
            <rFont val="Tahoma"/>
            <family val="2"/>
          </rPr>
          <t xml:space="preserve">
</t>
        </r>
      </text>
    </comment>
    <comment ref="N161" authorId="0" shapeId="0" xr:uid="{00000000-0006-0000-0800-00008C000000}">
      <text>
        <r>
          <rPr>
            <b/>
            <sz val="8"/>
            <color indexed="81"/>
            <rFont val="Tahoma"/>
            <family val="2"/>
          </rPr>
          <t>Zu versteuerndes Einkommen gem. § 32a Absatz 1 und
2 EStG in Euro, Cent (2 Dezimalstellen)</t>
        </r>
        <r>
          <rPr>
            <sz val="8"/>
            <color indexed="81"/>
            <rFont val="Tahoma"/>
            <family val="2"/>
          </rPr>
          <t xml:space="preserve">
</t>
        </r>
      </text>
    </comment>
    <comment ref="N163" authorId="0" shapeId="0" xr:uid="{00000000-0006-0000-0800-00008D000000}">
      <text>
        <r>
          <rPr>
            <b/>
            <sz val="8"/>
            <color indexed="81"/>
            <rFont val="Tahoma"/>
            <family val="2"/>
          </rPr>
          <t>Tarifliche Einkommensteuer (§ 32a EStG)</t>
        </r>
      </text>
    </comment>
    <comment ref="N164" authorId="0" shapeId="0" xr:uid="{00000000-0006-0000-0800-00008E000000}">
      <text>
        <r>
          <rPr>
            <b/>
            <sz val="8"/>
            <color indexed="81"/>
            <rFont val="Tahoma"/>
            <family val="2"/>
          </rPr>
          <t xml:space="preserve">Tarifliche Einkommensteuer in Euro
</t>
        </r>
        <r>
          <rPr>
            <sz val="8"/>
            <color indexed="81"/>
            <rFont val="Tahoma"/>
            <family val="2"/>
          </rPr>
          <t xml:space="preserve">
</t>
        </r>
      </text>
    </comment>
    <comment ref="N165" authorId="0" shapeId="0" xr:uid="{00000000-0006-0000-0800-00008F000000}">
      <text>
        <r>
          <rPr>
            <b/>
            <sz val="8"/>
            <color indexed="81"/>
            <rFont val="Tahoma"/>
            <family val="2"/>
          </rPr>
          <t>Gem. § 32 a Absatz 1 EStG (6 Dezimalstellen)</t>
        </r>
        <r>
          <rPr>
            <sz val="8"/>
            <color indexed="81"/>
            <rFont val="Tahoma"/>
            <family val="2"/>
          </rPr>
          <t xml:space="preserve">
</t>
        </r>
      </text>
    </comment>
    <comment ref="N166" authorId="0" shapeId="0" xr:uid="{00000000-0006-0000-0800-000090000000}">
      <text>
        <r>
          <rPr>
            <b/>
            <sz val="8"/>
            <color indexed="81"/>
            <rFont val="Tahoma"/>
            <family val="2"/>
          </rPr>
          <t>Rechenwert in Gleitkommadarstellung</t>
        </r>
        <r>
          <rPr>
            <sz val="8"/>
            <color indexed="81"/>
            <rFont val="Tahoma"/>
            <family val="2"/>
          </rPr>
          <t xml:space="preserve">
</t>
        </r>
      </text>
    </comment>
    <comment ref="N167" authorId="0" shapeId="0" xr:uid="{00000000-0006-0000-0800-000091000000}">
      <text>
        <r>
          <rPr>
            <b/>
            <sz val="8"/>
            <color indexed="81"/>
            <rFont val="Tahoma"/>
            <family val="2"/>
          </rPr>
          <t>Rechenwert in Gleitkommadarstellung</t>
        </r>
        <r>
          <rPr>
            <sz val="8"/>
            <color indexed="81"/>
            <rFont val="Tahoma"/>
            <family val="2"/>
          </rPr>
          <t xml:space="preserve">
</t>
        </r>
      </text>
    </comment>
    <comment ref="N168" authorId="0" shapeId="0" xr:uid="{00000000-0006-0000-0800-000092000000}">
      <text>
        <r>
          <rPr>
            <b/>
            <sz val="8"/>
            <color indexed="81"/>
            <rFont val="Tahoma"/>
            <family val="2"/>
          </rPr>
          <t xml:space="preserve">Tarifliche Einkommensteuer in Euro
</t>
        </r>
        <r>
          <rPr>
            <sz val="8"/>
            <color indexed="81"/>
            <rFont val="Tahoma"/>
            <family val="2"/>
          </rPr>
          <t xml:space="preserve">
</t>
        </r>
      </text>
    </comment>
    <comment ref="N169" authorId="0" shapeId="0" xr:uid="{00000000-0006-0000-0800-000093000000}">
      <text>
        <r>
          <rPr>
            <b/>
            <sz val="8"/>
            <color indexed="81"/>
            <rFont val="Tahoma"/>
            <family val="2"/>
          </rPr>
          <t>Gem. § 32 a Absatz 1 EStG (6 Dezimalstellen)</t>
        </r>
        <r>
          <rPr>
            <sz val="8"/>
            <color indexed="81"/>
            <rFont val="Tahoma"/>
            <family val="2"/>
          </rPr>
          <t xml:space="preserve">
</t>
        </r>
      </text>
    </comment>
    <comment ref="N170" authorId="0" shapeId="0" xr:uid="{00000000-0006-0000-0800-000094000000}">
      <text>
        <r>
          <rPr>
            <b/>
            <sz val="8"/>
            <color indexed="81"/>
            <rFont val="Tahoma"/>
            <family val="2"/>
          </rPr>
          <t>Rechenwert in Gleitkommadarstellung</t>
        </r>
        <r>
          <rPr>
            <sz val="8"/>
            <color indexed="81"/>
            <rFont val="Tahoma"/>
            <family val="2"/>
          </rPr>
          <t xml:space="preserve">
</t>
        </r>
      </text>
    </comment>
    <comment ref="N171" authorId="0" shapeId="0" xr:uid="{00000000-0006-0000-0800-000095000000}">
      <text>
        <r>
          <rPr>
            <b/>
            <sz val="8"/>
            <color indexed="81"/>
            <rFont val="Tahoma"/>
            <family val="2"/>
          </rPr>
          <t>Rechenwert in Gleitkommadarstellung</t>
        </r>
        <r>
          <rPr>
            <sz val="8"/>
            <color indexed="81"/>
            <rFont val="Tahoma"/>
            <family val="2"/>
          </rPr>
          <t xml:space="preserve">
</t>
        </r>
      </text>
    </comment>
    <comment ref="N172" authorId="0" shapeId="0" xr:uid="{00000000-0006-0000-0800-000096000000}">
      <text>
        <r>
          <rPr>
            <b/>
            <sz val="8"/>
            <color indexed="81"/>
            <rFont val="Tahoma"/>
            <family val="2"/>
          </rPr>
          <t>Rechenwert in Gleitkommadarstellung</t>
        </r>
        <r>
          <rPr>
            <sz val="8"/>
            <color indexed="81"/>
            <rFont val="Tahoma"/>
            <family val="2"/>
          </rPr>
          <t xml:space="preserve">
</t>
        </r>
      </text>
    </comment>
    <comment ref="N173" authorId="0" shapeId="0" xr:uid="{00000000-0006-0000-0800-000097000000}">
      <text>
        <r>
          <rPr>
            <b/>
            <sz val="8"/>
            <color indexed="81"/>
            <rFont val="Tahoma"/>
            <family val="2"/>
          </rPr>
          <t xml:space="preserve">Tarifliche Einkommensteuer in Euro
</t>
        </r>
        <r>
          <rPr>
            <sz val="8"/>
            <color indexed="81"/>
            <rFont val="Tahoma"/>
            <family val="2"/>
          </rPr>
          <t xml:space="preserve">
</t>
        </r>
      </text>
    </comment>
    <comment ref="N174" authorId="0" shapeId="0" xr:uid="{00000000-0006-0000-0800-000098000000}">
      <text>
        <r>
          <rPr>
            <b/>
            <sz val="8"/>
            <color indexed="81"/>
            <rFont val="Tahoma"/>
            <family val="2"/>
          </rPr>
          <t xml:space="preserve">Tarifliche Einkommensteuer in Euro
</t>
        </r>
        <r>
          <rPr>
            <sz val="8"/>
            <color indexed="81"/>
            <rFont val="Tahoma"/>
            <family val="2"/>
          </rPr>
          <t xml:space="preserve">
</t>
        </r>
      </text>
    </comment>
    <comment ref="N175" authorId="0" shapeId="0" xr:uid="{00000000-0006-0000-0800-000099000000}">
      <text>
        <r>
          <rPr>
            <b/>
            <sz val="8"/>
            <color indexed="81"/>
            <rFont val="Tahoma"/>
            <family val="2"/>
          </rPr>
          <t xml:space="preserve">Tarifliche Einkommensteuer in Euro
</t>
        </r>
        <r>
          <rPr>
            <sz val="8"/>
            <color indexed="81"/>
            <rFont val="Tahoma"/>
            <family val="2"/>
          </rPr>
          <t xml:space="preserve">
</t>
        </r>
      </text>
    </comment>
    <comment ref="N176" authorId="0" shapeId="0" xr:uid="{00000000-0006-0000-0800-00009A000000}">
      <text>
        <r>
          <rPr>
            <b/>
            <sz val="8"/>
            <color indexed="81"/>
            <rFont val="Tahoma"/>
            <family val="2"/>
          </rPr>
          <t xml:space="preserve">Tarifliche Einkommensteuer in Euro
</t>
        </r>
        <r>
          <rPr>
            <sz val="8"/>
            <color indexed="81"/>
            <rFont val="Tahoma"/>
            <family val="2"/>
          </rPr>
          <t xml:space="preserve">
</t>
        </r>
      </text>
    </comment>
    <comment ref="N177" authorId="0" shapeId="0" xr:uid="{00000000-0006-0000-0800-00009B000000}">
      <text>
        <r>
          <rPr>
            <b/>
            <sz val="8"/>
            <color indexed="81"/>
            <rFont val="Tahoma"/>
            <family val="2"/>
          </rPr>
          <t xml:space="preserve">Tarifliche Einkommensteuer auf das 0,75-fache ZX in Euro
</t>
        </r>
      </text>
    </comment>
    <comment ref="N178" authorId="0" shapeId="0" xr:uid="{00000000-0006-0000-0800-00009C000000}">
      <text>
        <r>
          <rPr>
            <b/>
            <sz val="8"/>
            <color indexed="81"/>
            <rFont val="Tahoma"/>
            <family val="2"/>
          </rPr>
          <t>Differenz zwischen ST1 und ST2 in Euro</t>
        </r>
      </text>
    </comment>
    <comment ref="N179" authorId="0" shapeId="0" xr:uid="{00000000-0006-0000-0800-00009D000000}">
      <text>
        <r>
          <rPr>
            <b/>
            <sz val="8"/>
            <color indexed="81"/>
            <rFont val="Tahoma"/>
            <family val="2"/>
          </rPr>
          <t>Mindeststeuer für die Steuerklassen V und VI in Euro</t>
        </r>
      </text>
    </comment>
    <comment ref="N180" authorId="0" shapeId="0" xr:uid="{00000000-0006-0000-0800-00009E000000}">
      <text>
        <r>
          <rPr>
            <b/>
            <sz val="8"/>
            <color indexed="81"/>
            <rFont val="Tahoma"/>
            <family val="2"/>
          </rPr>
          <t xml:space="preserve">Tarifliche Einkommensteuer in Euro
</t>
        </r>
        <r>
          <rPr>
            <sz val="8"/>
            <color indexed="81"/>
            <rFont val="Tahoma"/>
            <family val="2"/>
          </rPr>
          <t xml:space="preserve">
</t>
        </r>
      </text>
    </comment>
    <comment ref="N181" authorId="0" shapeId="0" xr:uid="{00000000-0006-0000-0800-00009F000000}">
      <text>
        <r>
          <rPr>
            <b/>
            <sz val="8"/>
            <color indexed="81"/>
            <rFont val="Tahoma"/>
            <family val="2"/>
          </rPr>
          <t>Zwischenfeld zu X für die Berechnung der Steuer nach § 39b
Absatz 2 Satz 7 EStG in Euro</t>
        </r>
      </text>
    </comment>
    <comment ref="N182" authorId="0" shapeId="0" xr:uid="{00000000-0006-0000-0800-0000A0000000}">
      <text>
        <r>
          <rPr>
            <b/>
            <sz val="8"/>
            <color indexed="81"/>
            <rFont val="Tahoma"/>
            <family val="2"/>
          </rPr>
          <t>Zwischenfeld zu X für die Berechnung der Steuer nach § 39b
Absatz 2 Satz 7 EStG in Euro</t>
        </r>
      </text>
    </comment>
    <comment ref="N185" authorId="0" shapeId="0" xr:uid="{00000000-0006-0000-0800-0000A1000000}">
      <text>
        <r>
          <rPr>
            <b/>
            <sz val="8"/>
            <color indexed="81"/>
            <rFont val="Tahoma"/>
            <family val="2"/>
          </rPr>
          <t>Zu versteuerndes Einkommen gem. § 32a Absatz 1 und
2 EStG in Euro, Cent (2 Dezimalstellen)</t>
        </r>
        <r>
          <rPr>
            <sz val="8"/>
            <color indexed="81"/>
            <rFont val="Tahoma"/>
            <family val="2"/>
          </rPr>
          <t xml:space="preserve">
</t>
        </r>
      </text>
    </comment>
    <comment ref="N187" authorId="0" shapeId="0" xr:uid="{00000000-0006-0000-0800-0000A2000000}">
      <text>
        <r>
          <rPr>
            <b/>
            <sz val="8"/>
            <color indexed="81"/>
            <rFont val="Tahoma"/>
            <family val="2"/>
          </rPr>
          <t>Tarifliche Einkommensteuer (§ 32a EStG)</t>
        </r>
      </text>
    </comment>
    <comment ref="N188" authorId="0" shapeId="0" xr:uid="{00000000-0006-0000-0800-0000A3000000}">
      <text>
        <r>
          <rPr>
            <b/>
            <sz val="8"/>
            <color indexed="81"/>
            <rFont val="Tahoma"/>
            <family val="2"/>
          </rPr>
          <t xml:space="preserve">Tarifliche Einkommensteuer in Euro
</t>
        </r>
        <r>
          <rPr>
            <sz val="8"/>
            <color indexed="81"/>
            <rFont val="Tahoma"/>
            <family val="2"/>
          </rPr>
          <t xml:space="preserve">
</t>
        </r>
      </text>
    </comment>
    <comment ref="N189" authorId="0" shapeId="0" xr:uid="{00000000-0006-0000-0800-0000A4000000}">
      <text>
        <r>
          <rPr>
            <b/>
            <sz val="8"/>
            <color indexed="81"/>
            <rFont val="Tahoma"/>
            <family val="2"/>
          </rPr>
          <t>Gem. § 32 a Absatz 1 EStG (6 Dezimalstellen)</t>
        </r>
        <r>
          <rPr>
            <sz val="8"/>
            <color indexed="81"/>
            <rFont val="Tahoma"/>
            <family val="2"/>
          </rPr>
          <t xml:space="preserve">
</t>
        </r>
      </text>
    </comment>
    <comment ref="N190" authorId="0" shapeId="0" xr:uid="{00000000-0006-0000-0800-0000A5000000}">
      <text>
        <r>
          <rPr>
            <b/>
            <sz val="8"/>
            <color indexed="81"/>
            <rFont val="Tahoma"/>
            <family val="2"/>
          </rPr>
          <t>Rechenwert in Gleitkommadarstellung</t>
        </r>
        <r>
          <rPr>
            <sz val="8"/>
            <color indexed="81"/>
            <rFont val="Tahoma"/>
            <family val="2"/>
          </rPr>
          <t xml:space="preserve">
</t>
        </r>
      </text>
    </comment>
    <comment ref="N191" authorId="0" shapeId="0" xr:uid="{00000000-0006-0000-0800-0000A6000000}">
      <text>
        <r>
          <rPr>
            <b/>
            <sz val="8"/>
            <color indexed="81"/>
            <rFont val="Tahoma"/>
            <family val="2"/>
          </rPr>
          <t>Rechenwert in Gleitkommadarstellung</t>
        </r>
        <r>
          <rPr>
            <sz val="8"/>
            <color indexed="81"/>
            <rFont val="Tahoma"/>
            <family val="2"/>
          </rPr>
          <t xml:space="preserve">
</t>
        </r>
      </text>
    </comment>
    <comment ref="N192" authorId="0" shapeId="0" xr:uid="{00000000-0006-0000-0800-0000A7000000}">
      <text>
        <r>
          <rPr>
            <b/>
            <sz val="8"/>
            <color indexed="81"/>
            <rFont val="Tahoma"/>
            <family val="2"/>
          </rPr>
          <t xml:space="preserve">Tarifliche Einkommensteuer in Euro
</t>
        </r>
        <r>
          <rPr>
            <sz val="8"/>
            <color indexed="81"/>
            <rFont val="Tahoma"/>
            <family val="2"/>
          </rPr>
          <t xml:space="preserve">
</t>
        </r>
      </text>
    </comment>
    <comment ref="N193" authorId="0" shapeId="0" xr:uid="{00000000-0006-0000-0800-0000A8000000}">
      <text>
        <r>
          <rPr>
            <b/>
            <sz val="8"/>
            <color indexed="81"/>
            <rFont val="Tahoma"/>
            <family val="2"/>
          </rPr>
          <t>Gem. § 32 a Absatz 1 EStG (6 Dezimalstellen)</t>
        </r>
        <r>
          <rPr>
            <sz val="8"/>
            <color indexed="81"/>
            <rFont val="Tahoma"/>
            <family val="2"/>
          </rPr>
          <t xml:space="preserve">
</t>
        </r>
      </text>
    </comment>
    <comment ref="N194" authorId="0" shapeId="0" xr:uid="{00000000-0006-0000-0800-0000A9000000}">
      <text>
        <r>
          <rPr>
            <b/>
            <sz val="8"/>
            <color indexed="81"/>
            <rFont val="Tahoma"/>
            <family val="2"/>
          </rPr>
          <t>Rechenwert in Gleitkommadarstellung</t>
        </r>
        <r>
          <rPr>
            <sz val="8"/>
            <color indexed="81"/>
            <rFont val="Tahoma"/>
            <family val="2"/>
          </rPr>
          <t xml:space="preserve">
</t>
        </r>
      </text>
    </comment>
    <comment ref="N195" authorId="0" shapeId="0" xr:uid="{00000000-0006-0000-0800-0000AA000000}">
      <text>
        <r>
          <rPr>
            <b/>
            <sz val="8"/>
            <color indexed="81"/>
            <rFont val="Tahoma"/>
            <family val="2"/>
          </rPr>
          <t>Rechenwert in Gleitkommadarstellung</t>
        </r>
        <r>
          <rPr>
            <sz val="8"/>
            <color indexed="81"/>
            <rFont val="Tahoma"/>
            <family val="2"/>
          </rPr>
          <t xml:space="preserve">
</t>
        </r>
      </text>
    </comment>
    <comment ref="N196" authorId="0" shapeId="0" xr:uid="{00000000-0006-0000-0800-0000AB000000}">
      <text>
        <r>
          <rPr>
            <b/>
            <sz val="8"/>
            <color indexed="81"/>
            <rFont val="Tahoma"/>
            <family val="2"/>
          </rPr>
          <t>Rechenwert in Gleitkommadarstellung</t>
        </r>
        <r>
          <rPr>
            <sz val="8"/>
            <color indexed="81"/>
            <rFont val="Tahoma"/>
            <family val="2"/>
          </rPr>
          <t xml:space="preserve">
</t>
        </r>
      </text>
    </comment>
    <comment ref="N197" authorId="0" shapeId="0" xr:uid="{00000000-0006-0000-0800-0000AC000000}">
      <text>
        <r>
          <rPr>
            <b/>
            <sz val="8"/>
            <color indexed="81"/>
            <rFont val="Tahoma"/>
            <family val="2"/>
          </rPr>
          <t xml:space="preserve">Tarifliche Einkommensteuer in Euro
</t>
        </r>
        <r>
          <rPr>
            <sz val="8"/>
            <color indexed="81"/>
            <rFont val="Tahoma"/>
            <family val="2"/>
          </rPr>
          <t xml:space="preserve">
</t>
        </r>
      </text>
    </comment>
    <comment ref="N198" authorId="0" shapeId="0" xr:uid="{00000000-0006-0000-0800-0000AD000000}">
      <text>
        <r>
          <rPr>
            <b/>
            <sz val="8"/>
            <color indexed="81"/>
            <rFont val="Tahoma"/>
            <family val="2"/>
          </rPr>
          <t xml:space="preserve">Tarifliche Einkommensteuer in Euro
</t>
        </r>
        <r>
          <rPr>
            <sz val="8"/>
            <color indexed="81"/>
            <rFont val="Tahoma"/>
            <family val="2"/>
          </rPr>
          <t xml:space="preserve">
</t>
        </r>
      </text>
    </comment>
    <comment ref="N199" authorId="0" shapeId="0" xr:uid="{00000000-0006-0000-0800-0000AE000000}">
      <text>
        <r>
          <rPr>
            <b/>
            <sz val="8"/>
            <color indexed="81"/>
            <rFont val="Tahoma"/>
            <family val="2"/>
          </rPr>
          <t xml:space="preserve">Tarifliche Einkommensteuer in Euro
</t>
        </r>
        <r>
          <rPr>
            <sz val="8"/>
            <color indexed="81"/>
            <rFont val="Tahoma"/>
            <family val="2"/>
          </rPr>
          <t xml:space="preserve">
</t>
        </r>
      </text>
    </comment>
    <comment ref="N200" authorId="0" shapeId="0" xr:uid="{00000000-0006-0000-0800-0000AF000000}">
      <text>
        <r>
          <rPr>
            <b/>
            <sz val="8"/>
            <color indexed="81"/>
            <rFont val="Tahoma"/>
            <family val="2"/>
          </rPr>
          <t xml:space="preserve">Tarifliche Einkommensteuer in Euro
</t>
        </r>
        <r>
          <rPr>
            <sz val="8"/>
            <color indexed="81"/>
            <rFont val="Tahoma"/>
            <family val="2"/>
          </rPr>
          <t xml:space="preserve">
</t>
        </r>
      </text>
    </comment>
    <comment ref="N201" authorId="0" shapeId="0" xr:uid="{00000000-0006-0000-0800-0000B0000000}">
      <text>
        <r>
          <rPr>
            <b/>
            <sz val="8"/>
            <color indexed="81"/>
            <rFont val="Tahoma"/>
            <family val="2"/>
          </rPr>
          <t>Tarifliche Einkommensteuer auf das 1,25-fache ZX in Euro</t>
        </r>
        <r>
          <rPr>
            <sz val="8"/>
            <color indexed="81"/>
            <rFont val="Tahoma"/>
            <family val="2"/>
          </rPr>
          <t xml:space="preserve">
</t>
        </r>
      </text>
    </comment>
    <comment ref="N202" authorId="0" shapeId="0" xr:uid="{00000000-0006-0000-0800-0000B1000000}">
      <text>
        <r>
          <rPr>
            <b/>
            <sz val="8"/>
            <color indexed="81"/>
            <rFont val="Tahoma"/>
            <family val="2"/>
          </rPr>
          <t>Zu versteuerndes Einkommen gem. § 32a Absatz 1 und
2 EStG in Euro, Cent (2 Dezimalstellen)</t>
        </r>
        <r>
          <rPr>
            <sz val="8"/>
            <color indexed="81"/>
            <rFont val="Tahoma"/>
            <family val="2"/>
          </rPr>
          <t xml:space="preserve">
</t>
        </r>
      </text>
    </comment>
    <comment ref="N204" authorId="0" shapeId="0" xr:uid="{00000000-0006-0000-0800-0000B2000000}">
      <text>
        <r>
          <rPr>
            <b/>
            <sz val="8"/>
            <color indexed="81"/>
            <rFont val="Tahoma"/>
            <family val="2"/>
          </rPr>
          <t>Tarifliche Einkommensteuer (§ 32a EStG)</t>
        </r>
      </text>
    </comment>
    <comment ref="N205" authorId="0" shapeId="0" xr:uid="{00000000-0006-0000-0800-0000B3000000}">
      <text>
        <r>
          <rPr>
            <b/>
            <sz val="8"/>
            <color indexed="81"/>
            <rFont val="Tahoma"/>
            <family val="2"/>
          </rPr>
          <t xml:space="preserve">Tarifliche Einkommensteuer in Euro
</t>
        </r>
        <r>
          <rPr>
            <sz val="8"/>
            <color indexed="81"/>
            <rFont val="Tahoma"/>
            <family val="2"/>
          </rPr>
          <t xml:space="preserve">
</t>
        </r>
      </text>
    </comment>
    <comment ref="N206" authorId="0" shapeId="0" xr:uid="{00000000-0006-0000-0800-0000B4000000}">
      <text>
        <r>
          <rPr>
            <b/>
            <sz val="8"/>
            <color indexed="81"/>
            <rFont val="Tahoma"/>
            <family val="2"/>
          </rPr>
          <t>Gem. § 32 a Absatz 1 EStG (6 Dezimalstellen)</t>
        </r>
        <r>
          <rPr>
            <sz val="8"/>
            <color indexed="81"/>
            <rFont val="Tahoma"/>
            <family val="2"/>
          </rPr>
          <t xml:space="preserve">
</t>
        </r>
      </text>
    </comment>
    <comment ref="N207" authorId="0" shapeId="0" xr:uid="{00000000-0006-0000-0800-0000B5000000}">
      <text>
        <r>
          <rPr>
            <b/>
            <sz val="8"/>
            <color indexed="81"/>
            <rFont val="Tahoma"/>
            <family val="2"/>
          </rPr>
          <t>Rechenwert in Gleitkommadarstellung</t>
        </r>
        <r>
          <rPr>
            <sz val="8"/>
            <color indexed="81"/>
            <rFont val="Tahoma"/>
            <family val="2"/>
          </rPr>
          <t xml:space="preserve">
</t>
        </r>
      </text>
    </comment>
    <comment ref="N208" authorId="0" shapeId="0" xr:uid="{00000000-0006-0000-0800-0000B6000000}">
      <text>
        <r>
          <rPr>
            <b/>
            <sz val="8"/>
            <color indexed="81"/>
            <rFont val="Tahoma"/>
            <family val="2"/>
          </rPr>
          <t>Rechenwert in Gleitkommadarstellung</t>
        </r>
        <r>
          <rPr>
            <sz val="8"/>
            <color indexed="81"/>
            <rFont val="Tahoma"/>
            <family val="2"/>
          </rPr>
          <t xml:space="preserve">
</t>
        </r>
      </text>
    </comment>
    <comment ref="N209" authorId="0" shapeId="0" xr:uid="{00000000-0006-0000-0800-0000B7000000}">
      <text>
        <r>
          <rPr>
            <b/>
            <sz val="8"/>
            <color indexed="81"/>
            <rFont val="Tahoma"/>
            <family val="2"/>
          </rPr>
          <t xml:space="preserve">Tarifliche Einkommensteuer in Euro
</t>
        </r>
        <r>
          <rPr>
            <sz val="8"/>
            <color indexed="81"/>
            <rFont val="Tahoma"/>
            <family val="2"/>
          </rPr>
          <t xml:space="preserve">
</t>
        </r>
      </text>
    </comment>
    <comment ref="N210" authorId="0" shapeId="0" xr:uid="{00000000-0006-0000-0800-0000B8000000}">
      <text>
        <r>
          <rPr>
            <b/>
            <sz val="8"/>
            <color indexed="81"/>
            <rFont val="Tahoma"/>
            <family val="2"/>
          </rPr>
          <t>Gem. § 32 a Absatz 1 EStG (6 Dezimalstellen)</t>
        </r>
        <r>
          <rPr>
            <sz val="8"/>
            <color indexed="81"/>
            <rFont val="Tahoma"/>
            <family val="2"/>
          </rPr>
          <t xml:space="preserve">
</t>
        </r>
      </text>
    </comment>
    <comment ref="N211" authorId="0" shapeId="0" xr:uid="{00000000-0006-0000-0800-0000B9000000}">
      <text>
        <r>
          <rPr>
            <b/>
            <sz val="8"/>
            <color indexed="81"/>
            <rFont val="Tahoma"/>
            <family val="2"/>
          </rPr>
          <t>Rechenwert in Gleitkommadarstellung</t>
        </r>
        <r>
          <rPr>
            <sz val="8"/>
            <color indexed="81"/>
            <rFont val="Tahoma"/>
            <family val="2"/>
          </rPr>
          <t xml:space="preserve">
</t>
        </r>
      </text>
    </comment>
    <comment ref="N212" authorId="0" shapeId="0" xr:uid="{00000000-0006-0000-0800-0000BA000000}">
      <text>
        <r>
          <rPr>
            <b/>
            <sz val="8"/>
            <color indexed="81"/>
            <rFont val="Tahoma"/>
            <family val="2"/>
          </rPr>
          <t>Rechenwert in Gleitkommadarstellung</t>
        </r>
        <r>
          <rPr>
            <sz val="8"/>
            <color indexed="81"/>
            <rFont val="Tahoma"/>
            <family val="2"/>
          </rPr>
          <t xml:space="preserve">
</t>
        </r>
      </text>
    </comment>
    <comment ref="N213" authorId="0" shapeId="0" xr:uid="{00000000-0006-0000-0800-0000BB000000}">
      <text>
        <r>
          <rPr>
            <b/>
            <sz val="8"/>
            <color indexed="81"/>
            <rFont val="Tahoma"/>
            <family val="2"/>
          </rPr>
          <t>Rechenwert in Gleitkommadarstellung</t>
        </r>
        <r>
          <rPr>
            <sz val="8"/>
            <color indexed="81"/>
            <rFont val="Tahoma"/>
            <family val="2"/>
          </rPr>
          <t xml:space="preserve">
</t>
        </r>
      </text>
    </comment>
    <comment ref="N214" authorId="0" shapeId="0" xr:uid="{00000000-0006-0000-0800-0000BC000000}">
      <text>
        <r>
          <rPr>
            <b/>
            <sz val="8"/>
            <color indexed="81"/>
            <rFont val="Tahoma"/>
            <family val="2"/>
          </rPr>
          <t xml:space="preserve">Tarifliche Einkommensteuer in Euro
</t>
        </r>
        <r>
          <rPr>
            <sz val="8"/>
            <color indexed="81"/>
            <rFont val="Tahoma"/>
            <family val="2"/>
          </rPr>
          <t xml:space="preserve">
</t>
        </r>
      </text>
    </comment>
    <comment ref="N215" authorId="0" shapeId="0" xr:uid="{00000000-0006-0000-0800-0000BD000000}">
      <text>
        <r>
          <rPr>
            <b/>
            <sz val="8"/>
            <color indexed="81"/>
            <rFont val="Tahoma"/>
            <family val="2"/>
          </rPr>
          <t xml:space="preserve">Tarifliche Einkommensteuer in Euro
</t>
        </r>
        <r>
          <rPr>
            <sz val="8"/>
            <color indexed="81"/>
            <rFont val="Tahoma"/>
            <family val="2"/>
          </rPr>
          <t xml:space="preserve">
</t>
        </r>
      </text>
    </comment>
    <comment ref="N216" authorId="0" shapeId="0" xr:uid="{00000000-0006-0000-0800-0000BE000000}">
      <text>
        <r>
          <rPr>
            <b/>
            <sz val="8"/>
            <color indexed="81"/>
            <rFont val="Tahoma"/>
            <family val="2"/>
          </rPr>
          <t xml:space="preserve">Tarifliche Einkommensteuer in Euro
</t>
        </r>
        <r>
          <rPr>
            <sz val="8"/>
            <color indexed="81"/>
            <rFont val="Tahoma"/>
            <family val="2"/>
          </rPr>
          <t xml:space="preserve">
</t>
        </r>
      </text>
    </comment>
    <comment ref="N217" authorId="0" shapeId="0" xr:uid="{00000000-0006-0000-0800-0000BF000000}">
      <text>
        <r>
          <rPr>
            <b/>
            <sz val="8"/>
            <color indexed="81"/>
            <rFont val="Tahoma"/>
            <family val="2"/>
          </rPr>
          <t xml:space="preserve">Tarifliche Einkommensteuer in Euro
</t>
        </r>
        <r>
          <rPr>
            <sz val="8"/>
            <color indexed="81"/>
            <rFont val="Tahoma"/>
            <family val="2"/>
          </rPr>
          <t xml:space="preserve">
</t>
        </r>
      </text>
    </comment>
    <comment ref="N218" authorId="0" shapeId="0" xr:uid="{00000000-0006-0000-0800-0000C0000000}">
      <text>
        <r>
          <rPr>
            <b/>
            <sz val="8"/>
            <color indexed="81"/>
            <rFont val="Tahoma"/>
            <family val="2"/>
          </rPr>
          <t xml:space="preserve">Tarifliche Einkommensteuer auf das 0,75-fache ZX in Euro
</t>
        </r>
      </text>
    </comment>
    <comment ref="N219" authorId="0" shapeId="0" xr:uid="{00000000-0006-0000-0800-0000C1000000}">
      <text>
        <r>
          <rPr>
            <b/>
            <sz val="8"/>
            <color indexed="81"/>
            <rFont val="Tahoma"/>
            <family val="2"/>
          </rPr>
          <t>Differenz zwischen ST1 und ST2 in Euro</t>
        </r>
      </text>
    </comment>
    <comment ref="N220" authorId="0" shapeId="0" xr:uid="{00000000-0006-0000-0800-0000C2000000}">
      <text>
        <r>
          <rPr>
            <b/>
            <sz val="8"/>
            <color indexed="81"/>
            <rFont val="Tahoma"/>
            <family val="2"/>
          </rPr>
          <t>Mindeststeuer für die Steuerklassen V und VI in Euro</t>
        </r>
      </text>
    </comment>
    <comment ref="N221" authorId="0" shapeId="0" xr:uid="{00000000-0006-0000-0800-0000C3000000}">
      <text>
        <r>
          <rPr>
            <b/>
            <sz val="8"/>
            <color indexed="81"/>
            <rFont val="Tahoma"/>
            <family val="2"/>
          </rPr>
          <t xml:space="preserve">Tarifliche Einkommensteuer in Euro
</t>
        </r>
        <r>
          <rPr>
            <sz val="8"/>
            <color indexed="81"/>
            <rFont val="Tahoma"/>
            <family val="2"/>
          </rPr>
          <t xml:space="preserve">
</t>
        </r>
      </text>
    </comment>
    <comment ref="N222" authorId="0" shapeId="0" xr:uid="{00000000-0006-0000-0800-0000C4000000}">
      <text>
        <r>
          <rPr>
            <b/>
            <sz val="8"/>
            <color indexed="81"/>
            <rFont val="Tahoma"/>
            <family val="2"/>
          </rPr>
          <t>Zwischenfeld zu X für die Berechnung der Steuer nach § 39b
Absatz 2 Satz 7 EStG in Euro</t>
        </r>
      </text>
    </comment>
    <comment ref="N223" authorId="0" shapeId="0" xr:uid="{00000000-0006-0000-0800-0000C5000000}">
      <text>
        <r>
          <rPr>
            <b/>
            <sz val="8"/>
            <color indexed="81"/>
            <rFont val="Tahoma"/>
            <family val="2"/>
          </rPr>
          <t xml:space="preserve">Tarifliche Einkommensteuer in Euro
</t>
        </r>
        <r>
          <rPr>
            <sz val="8"/>
            <color indexed="81"/>
            <rFont val="Tahoma"/>
            <family val="2"/>
          </rPr>
          <t xml:space="preserve">
</t>
        </r>
      </text>
    </comment>
    <comment ref="N224" authorId="0" shapeId="0" xr:uid="{00000000-0006-0000-0800-0000C6000000}">
      <text>
        <r>
          <rPr>
            <b/>
            <sz val="8"/>
            <color indexed="81"/>
            <rFont val="Tahoma"/>
            <family val="2"/>
          </rPr>
          <t xml:space="preserve">Tarifliche Einkommensteuer in Euro
</t>
        </r>
        <r>
          <rPr>
            <sz val="8"/>
            <color indexed="81"/>
            <rFont val="Tahoma"/>
            <family val="2"/>
          </rPr>
          <t xml:space="preserve">
</t>
        </r>
      </text>
    </comment>
    <comment ref="N226" authorId="0" shapeId="0" xr:uid="{00000000-0006-0000-0800-0000C7000000}">
      <text>
        <r>
          <rPr>
            <b/>
            <sz val="8"/>
            <color indexed="81"/>
            <rFont val="Tahoma"/>
            <family val="2"/>
          </rPr>
          <t>Jahreslohnsteuer in Euro</t>
        </r>
      </text>
    </comment>
    <comment ref="N229" authorId="0" shapeId="0" xr:uid="{00000000-0006-0000-0800-0000C8000000}">
      <text>
        <r>
          <rPr>
            <b/>
            <sz val="8"/>
            <color indexed="81"/>
            <rFont val="Tahoma"/>
            <family val="2"/>
          </rPr>
          <t>Jahreswert, dessen Anteil für einen Lohnzahlungszeitraum in 
UPANTEIL errechnet werden soll in Cent</t>
        </r>
        <r>
          <rPr>
            <sz val="8"/>
            <color indexed="81"/>
            <rFont val="Tahoma"/>
            <family val="2"/>
          </rPr>
          <t xml:space="preserve">
</t>
        </r>
      </text>
    </comment>
    <comment ref="N231" authorId="0" shapeId="0" xr:uid="{00000000-0006-0000-0800-0000C9000000}">
      <text>
        <r>
          <rPr>
            <b/>
            <sz val="8"/>
            <color indexed="81"/>
            <rFont val="Tahoma"/>
            <family val="2"/>
          </rPr>
          <t>Anteil von Jahresbeträgen für einen LZZ (§ 39b Absatz 2 Satz 9 EStG)</t>
        </r>
      </text>
    </comment>
    <comment ref="N232" authorId="0" shapeId="0" xr:uid="{00000000-0006-0000-0800-0000CA000000}">
      <text>
        <r>
          <rPr>
            <b/>
            <sz val="8"/>
            <color indexed="81"/>
            <rFont val="Tahoma"/>
            <family val="2"/>
          </rPr>
          <t>Auf den Lohnzahlungszeitraum entfallender Anteil von Jahreswerten auf ganze Cent abgerundet</t>
        </r>
        <r>
          <rPr>
            <sz val="8"/>
            <color indexed="81"/>
            <rFont val="Tahoma"/>
            <family val="2"/>
          </rPr>
          <t xml:space="preserve">
</t>
        </r>
      </text>
    </comment>
    <comment ref="N233" authorId="0" shapeId="0" xr:uid="{00000000-0006-0000-0800-0000CB000000}">
      <text>
        <r>
          <rPr>
            <b/>
            <sz val="8"/>
            <color indexed="81"/>
            <rFont val="Tahoma"/>
            <family val="2"/>
          </rPr>
          <t>Für den Lohnzahlungszeitraum einzubehaltende Lohnsteuer in Cent</t>
        </r>
        <r>
          <rPr>
            <sz val="8"/>
            <color indexed="81"/>
            <rFont val="Tahoma"/>
            <family val="2"/>
          </rPr>
          <t xml:space="preserve">
</t>
        </r>
      </text>
    </comment>
    <comment ref="N234" authorId="0" shapeId="0" xr:uid="{00000000-0006-0000-0800-0000CC000000}">
      <text>
        <r>
          <rPr>
            <b/>
            <sz val="8"/>
            <color indexed="81"/>
            <rFont val="Tahoma"/>
            <family val="2"/>
          </rPr>
          <t>Feste Tabellenfreibeträge (ohne Vorsorgepauschale) in Euro, Cent
(2 Dezimalstellen)</t>
        </r>
      </text>
    </comment>
    <comment ref="N235" authorId="0" shapeId="0" xr:uid="{00000000-0006-0000-0800-0000CD000000}">
      <text>
        <r>
          <rPr>
            <b/>
            <sz val="8"/>
            <color indexed="81"/>
            <rFont val="Tahoma"/>
            <family val="2"/>
          </rPr>
          <t>Zu versteuerndes Einkommen in Euro, Cent (2 Dezimalstellen)</t>
        </r>
      </text>
    </comment>
    <comment ref="N236" authorId="0" shapeId="0" xr:uid="{00000000-0006-0000-0800-0000CE000000}">
      <text>
        <r>
          <rPr>
            <b/>
            <sz val="8"/>
            <color indexed="81"/>
            <rFont val="Tahoma"/>
            <family val="2"/>
          </rPr>
          <t>Zu versteuerndes Einkommen in Euro, Cent (2 Dezimalstellen)</t>
        </r>
      </text>
    </comment>
    <comment ref="N238" authorId="0" shapeId="0" xr:uid="{00000000-0006-0000-0800-0000CF000000}">
      <text>
        <r>
          <rPr>
            <b/>
            <sz val="8"/>
            <color indexed="81"/>
            <rFont val="Tahoma"/>
            <family val="2"/>
          </rPr>
          <t>Tarifliche Einkommensteuer (§ 32a EStG)</t>
        </r>
      </text>
    </comment>
    <comment ref="N239" authorId="0" shapeId="0" xr:uid="{00000000-0006-0000-0800-0000D0000000}">
      <text>
        <r>
          <rPr>
            <b/>
            <sz val="8"/>
            <color indexed="81"/>
            <rFont val="Tahoma"/>
            <family val="2"/>
          </rPr>
          <t xml:space="preserve">Tarifliche Einkommensteuer in Euro
</t>
        </r>
        <r>
          <rPr>
            <sz val="8"/>
            <color indexed="81"/>
            <rFont val="Tahoma"/>
            <family val="2"/>
          </rPr>
          <t xml:space="preserve">
</t>
        </r>
      </text>
    </comment>
    <comment ref="N240" authorId="0" shapeId="0" xr:uid="{00000000-0006-0000-0800-0000D1000000}">
      <text>
        <r>
          <rPr>
            <b/>
            <sz val="8"/>
            <color indexed="81"/>
            <rFont val="Tahoma"/>
            <family val="2"/>
          </rPr>
          <t>Gem. § 32 a Absatz 1 EStG (6 Dezimalstellen)</t>
        </r>
        <r>
          <rPr>
            <sz val="8"/>
            <color indexed="81"/>
            <rFont val="Tahoma"/>
            <family val="2"/>
          </rPr>
          <t xml:space="preserve">
</t>
        </r>
      </text>
    </comment>
    <comment ref="N241" authorId="0" shapeId="0" xr:uid="{00000000-0006-0000-0800-0000D2000000}">
      <text>
        <r>
          <rPr>
            <b/>
            <sz val="8"/>
            <color indexed="81"/>
            <rFont val="Tahoma"/>
            <family val="2"/>
          </rPr>
          <t>Rechenwert in Gleitkommadarstellung</t>
        </r>
        <r>
          <rPr>
            <sz val="8"/>
            <color indexed="81"/>
            <rFont val="Tahoma"/>
            <family val="2"/>
          </rPr>
          <t xml:space="preserve">
</t>
        </r>
      </text>
    </comment>
    <comment ref="N242" authorId="0" shapeId="0" xr:uid="{00000000-0006-0000-0800-0000D3000000}">
      <text>
        <r>
          <rPr>
            <b/>
            <sz val="8"/>
            <color indexed="81"/>
            <rFont val="Tahoma"/>
            <family val="2"/>
          </rPr>
          <t>Rechenwert in Gleitkommadarstellung</t>
        </r>
        <r>
          <rPr>
            <sz val="8"/>
            <color indexed="81"/>
            <rFont val="Tahoma"/>
            <family val="2"/>
          </rPr>
          <t xml:space="preserve">
</t>
        </r>
      </text>
    </comment>
    <comment ref="N243" authorId="0" shapeId="0" xr:uid="{00000000-0006-0000-0800-0000D4000000}">
      <text>
        <r>
          <rPr>
            <b/>
            <sz val="8"/>
            <color indexed="81"/>
            <rFont val="Tahoma"/>
            <family val="2"/>
          </rPr>
          <t xml:space="preserve">Tarifliche Einkommensteuer in Euro
</t>
        </r>
        <r>
          <rPr>
            <sz val="8"/>
            <color indexed="81"/>
            <rFont val="Tahoma"/>
            <family val="2"/>
          </rPr>
          <t xml:space="preserve">
</t>
        </r>
      </text>
    </comment>
    <comment ref="N244" authorId="0" shapeId="0" xr:uid="{00000000-0006-0000-0800-0000D5000000}">
      <text>
        <r>
          <rPr>
            <b/>
            <sz val="8"/>
            <color indexed="81"/>
            <rFont val="Tahoma"/>
            <family val="2"/>
          </rPr>
          <t>Gem. § 32 a Absatz 1 EStG (6 Dezimalstellen)</t>
        </r>
        <r>
          <rPr>
            <sz val="8"/>
            <color indexed="81"/>
            <rFont val="Tahoma"/>
            <family val="2"/>
          </rPr>
          <t xml:space="preserve">
</t>
        </r>
      </text>
    </comment>
    <comment ref="N245" authorId="0" shapeId="0" xr:uid="{00000000-0006-0000-0800-0000D6000000}">
      <text>
        <r>
          <rPr>
            <b/>
            <sz val="8"/>
            <color indexed="81"/>
            <rFont val="Tahoma"/>
            <family val="2"/>
          </rPr>
          <t>Rechenwert in Gleitkommadarstellung</t>
        </r>
        <r>
          <rPr>
            <sz val="8"/>
            <color indexed="81"/>
            <rFont val="Tahoma"/>
            <family val="2"/>
          </rPr>
          <t xml:space="preserve">
</t>
        </r>
      </text>
    </comment>
    <comment ref="N246" authorId="0" shapeId="0" xr:uid="{00000000-0006-0000-0800-0000D7000000}">
      <text>
        <r>
          <rPr>
            <b/>
            <sz val="8"/>
            <color indexed="81"/>
            <rFont val="Tahoma"/>
            <family val="2"/>
          </rPr>
          <t>Rechenwert in Gleitkommadarstellung</t>
        </r>
        <r>
          <rPr>
            <sz val="8"/>
            <color indexed="81"/>
            <rFont val="Tahoma"/>
            <family val="2"/>
          </rPr>
          <t xml:space="preserve">
</t>
        </r>
      </text>
    </comment>
    <comment ref="N247" authorId="0" shapeId="0" xr:uid="{00000000-0006-0000-0800-0000D8000000}">
      <text>
        <r>
          <rPr>
            <b/>
            <sz val="8"/>
            <color indexed="81"/>
            <rFont val="Tahoma"/>
            <family val="2"/>
          </rPr>
          <t>Rechenwert in Gleitkommadarstellung</t>
        </r>
        <r>
          <rPr>
            <sz val="8"/>
            <color indexed="81"/>
            <rFont val="Tahoma"/>
            <family val="2"/>
          </rPr>
          <t xml:space="preserve">
</t>
        </r>
      </text>
    </comment>
    <comment ref="N248" authorId="0" shapeId="0" xr:uid="{00000000-0006-0000-0800-0000D9000000}">
      <text>
        <r>
          <rPr>
            <b/>
            <sz val="8"/>
            <color indexed="81"/>
            <rFont val="Tahoma"/>
            <family val="2"/>
          </rPr>
          <t xml:space="preserve">Tarifliche Einkommensteuer in Euro
</t>
        </r>
        <r>
          <rPr>
            <sz val="8"/>
            <color indexed="81"/>
            <rFont val="Tahoma"/>
            <family val="2"/>
          </rPr>
          <t xml:space="preserve">
</t>
        </r>
      </text>
    </comment>
    <comment ref="N249" authorId="0" shapeId="0" xr:uid="{00000000-0006-0000-0800-0000DA000000}">
      <text>
        <r>
          <rPr>
            <b/>
            <sz val="8"/>
            <color indexed="81"/>
            <rFont val="Tahoma"/>
            <family val="2"/>
          </rPr>
          <t xml:space="preserve">Tarifliche Einkommensteuer in Euro
</t>
        </r>
        <r>
          <rPr>
            <sz val="8"/>
            <color indexed="81"/>
            <rFont val="Tahoma"/>
            <family val="2"/>
          </rPr>
          <t xml:space="preserve">
</t>
        </r>
      </text>
    </comment>
    <comment ref="N250" authorId="0" shapeId="0" xr:uid="{00000000-0006-0000-0800-0000DB000000}">
      <text>
        <r>
          <rPr>
            <b/>
            <sz val="8"/>
            <color indexed="81"/>
            <rFont val="Tahoma"/>
            <family val="2"/>
          </rPr>
          <t xml:space="preserve">Tarifliche Einkommensteuer in Euro
</t>
        </r>
        <r>
          <rPr>
            <sz val="8"/>
            <color indexed="81"/>
            <rFont val="Tahoma"/>
            <family val="2"/>
          </rPr>
          <t xml:space="preserve">
</t>
        </r>
      </text>
    </comment>
    <comment ref="N251" authorId="0" shapeId="0" xr:uid="{00000000-0006-0000-0800-0000DC000000}">
      <text>
        <r>
          <rPr>
            <b/>
            <sz val="8"/>
            <color indexed="81"/>
            <rFont val="Tahoma"/>
            <family val="2"/>
          </rPr>
          <t xml:space="preserve">Tarifliche Einkommensteuer in Euro
</t>
        </r>
        <r>
          <rPr>
            <sz val="8"/>
            <color indexed="81"/>
            <rFont val="Tahoma"/>
            <family val="2"/>
          </rPr>
          <t xml:space="preserve">
</t>
        </r>
      </text>
    </comment>
    <comment ref="N252" authorId="0" shapeId="0" xr:uid="{00000000-0006-0000-0800-0000DD000000}">
      <text>
        <r>
          <rPr>
            <b/>
            <sz val="8"/>
            <color indexed="81"/>
            <rFont val="Tahoma"/>
            <family val="2"/>
          </rPr>
          <t>Jahressteuer nach § 51a EStG, aus der Solidaritätszuschlag und 
Bemessungsgrundlage für die Kirchenlohnsteuer ermittelt werden
in Euro</t>
        </r>
      </text>
    </comment>
    <comment ref="N254" authorId="0" shapeId="0" xr:uid="{00000000-0006-0000-0800-0000DE000000}">
      <text>
        <r>
          <rPr>
            <b/>
            <sz val="8"/>
            <color indexed="81"/>
            <rFont val="Tahoma"/>
            <family val="2"/>
          </rPr>
          <t>Solidaritätszuschlag</t>
        </r>
      </text>
    </comment>
    <comment ref="N255" authorId="0" shapeId="0" xr:uid="{00000000-0006-0000-0800-0000DF000000}">
      <text>
        <r>
          <rPr>
            <b/>
            <sz val="8"/>
            <color indexed="81"/>
            <rFont val="Tahoma"/>
            <family val="2"/>
          </rPr>
          <t>Freigrenze für den Solidaritätszuschlag in Euro</t>
        </r>
        <r>
          <rPr>
            <sz val="8"/>
            <color indexed="81"/>
            <rFont val="Tahoma"/>
            <family val="2"/>
          </rPr>
          <t xml:space="preserve">
</t>
        </r>
      </text>
    </comment>
    <comment ref="N256" authorId="0" shapeId="0" xr:uid="{00000000-0006-0000-0800-0000E0000000}">
      <text>
        <r>
          <rPr>
            <b/>
            <sz val="8"/>
            <color indexed="81"/>
            <rFont val="Tahoma"/>
            <family val="2"/>
          </rPr>
          <t>Solidaritätszuschlag auf die Jahreslohnsteuer in Euro, Cent (2 Dezimalstellen)</t>
        </r>
        <r>
          <rPr>
            <sz val="8"/>
            <color indexed="81"/>
            <rFont val="Tahoma"/>
            <family val="2"/>
          </rPr>
          <t xml:space="preserve">
</t>
        </r>
      </text>
    </comment>
    <comment ref="N257" authorId="0" shapeId="0" xr:uid="{00000000-0006-0000-0800-0000E1000000}">
      <text>
        <r>
          <rPr>
            <b/>
            <sz val="8"/>
            <color indexed="81"/>
            <rFont val="Tahoma"/>
            <family val="2"/>
          </rPr>
          <t>Zwischenwert für den Solidaritätszuschlag auf die Jahreslohnsteuer in Euro, Cent (2 Dezimalstellen)</t>
        </r>
        <r>
          <rPr>
            <sz val="8"/>
            <color indexed="81"/>
            <rFont val="Tahoma"/>
            <family val="2"/>
          </rPr>
          <t xml:space="preserve">
</t>
        </r>
      </text>
    </comment>
    <comment ref="N258" authorId="0" shapeId="0" xr:uid="{00000000-0006-0000-0800-0000E2000000}">
      <text>
        <r>
          <rPr>
            <b/>
            <sz val="8"/>
            <color indexed="81"/>
            <rFont val="Tahoma"/>
            <family val="2"/>
          </rPr>
          <t>Solidaritätszuschlag auf die Jahreslohnsteuer in Euro, Cent (2 Dezimalstellen)</t>
        </r>
        <r>
          <rPr>
            <sz val="8"/>
            <color indexed="81"/>
            <rFont val="Tahoma"/>
            <family val="2"/>
          </rPr>
          <t xml:space="preserve">
</t>
        </r>
      </text>
    </comment>
    <comment ref="N259" authorId="0" shapeId="0" xr:uid="{00000000-0006-0000-0800-0000E3000000}">
      <text>
        <r>
          <rPr>
            <b/>
            <sz val="8"/>
            <color indexed="81"/>
            <rFont val="Tahoma"/>
            <family val="2"/>
          </rPr>
          <t>Jahreswert, dessen Anteil für einen Lohnzahlungszeitraum in 
UPANTEIL errechnet werden soll in Cent</t>
        </r>
        <r>
          <rPr>
            <sz val="8"/>
            <color indexed="81"/>
            <rFont val="Tahoma"/>
            <family val="2"/>
          </rPr>
          <t xml:space="preserve">
</t>
        </r>
      </text>
    </comment>
    <comment ref="N261" authorId="0" shapeId="0" xr:uid="{00000000-0006-0000-0800-0000E4000000}">
      <text>
        <r>
          <rPr>
            <b/>
            <sz val="8"/>
            <color indexed="81"/>
            <rFont val="Tahoma"/>
            <family val="2"/>
          </rPr>
          <t>Anteil von Jahresbeträgen für einen LZZ (§ 39b Absatz 2 Satz 9 EStG)</t>
        </r>
      </text>
    </comment>
    <comment ref="N262" authorId="0" shapeId="0" xr:uid="{00000000-0006-0000-0800-0000E5000000}">
      <text>
        <r>
          <rPr>
            <b/>
            <sz val="8"/>
            <color indexed="81"/>
            <rFont val="Tahoma"/>
            <family val="2"/>
          </rPr>
          <t>Auf den Lohnzahlungszeitraum entfallender Anteil von Jahreswerten auf ganze Cent abgerundet</t>
        </r>
        <r>
          <rPr>
            <sz val="8"/>
            <color indexed="81"/>
            <rFont val="Tahoma"/>
            <family val="2"/>
          </rPr>
          <t xml:space="preserve">
</t>
        </r>
      </text>
    </comment>
    <comment ref="N263" authorId="0" shapeId="0" xr:uid="{00000000-0006-0000-0800-0000E6000000}">
      <text>
        <r>
          <rPr>
            <b/>
            <sz val="8"/>
            <color indexed="81"/>
            <rFont val="Tahoma"/>
            <family val="2"/>
          </rPr>
          <t>Für den Lohnzahlungszeitraum einzubehaltender Solidaritäts-
zuschlag in Cent</t>
        </r>
        <r>
          <rPr>
            <sz val="8"/>
            <color indexed="81"/>
            <rFont val="Tahoma"/>
            <family val="2"/>
          </rPr>
          <t xml:space="preserve">
</t>
        </r>
      </text>
    </comment>
    <comment ref="N264" authorId="0" shapeId="0" xr:uid="{00000000-0006-0000-0800-0000E7000000}">
      <text>
        <r>
          <rPr>
            <b/>
            <sz val="8"/>
            <color indexed="81"/>
            <rFont val="Tahoma"/>
            <family val="2"/>
          </rPr>
          <t>Jahreswert, dessen Anteil für einen Lohnzahlungszeitraum in 
UPANTEIL errechnet werden soll in Cent</t>
        </r>
        <r>
          <rPr>
            <sz val="8"/>
            <color indexed="81"/>
            <rFont val="Tahoma"/>
            <family val="2"/>
          </rPr>
          <t xml:space="preserve">
</t>
        </r>
      </text>
    </comment>
    <comment ref="N266" authorId="0" shapeId="0" xr:uid="{00000000-0006-0000-0800-0000E8000000}">
      <text>
        <r>
          <rPr>
            <b/>
            <sz val="8"/>
            <color indexed="81"/>
            <rFont val="Tahoma"/>
            <family val="2"/>
          </rPr>
          <t>Anteil von Jahresbeträgen für einen LZZ (§ 39b Absatz 2 Satz 9 EStG)</t>
        </r>
      </text>
    </comment>
    <comment ref="N267" authorId="0" shapeId="0" xr:uid="{00000000-0006-0000-0800-0000E9000000}">
      <text>
        <r>
          <rPr>
            <b/>
            <sz val="8"/>
            <color indexed="81"/>
            <rFont val="Tahoma"/>
            <family val="2"/>
          </rPr>
          <t>Auf den Lohnzahlungszeitraum entfallender Anteil von Jahreswerten auf ganze Cent abgerundet</t>
        </r>
        <r>
          <rPr>
            <sz val="8"/>
            <color indexed="81"/>
            <rFont val="Tahoma"/>
            <family val="2"/>
          </rPr>
          <t xml:space="preserve">
</t>
        </r>
      </text>
    </comment>
    <comment ref="N268" authorId="0" shapeId="0" xr:uid="{00000000-0006-0000-0800-0000EA000000}">
      <text>
        <r>
          <rPr>
            <b/>
            <sz val="8"/>
            <color indexed="81"/>
            <rFont val="Tahoma"/>
            <family val="2"/>
          </rPr>
          <t>Bemessungsgrundlage für die Kirchenlohnsteuer in Cent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Faber</author>
    <author>Faber, Peter (I/FF-44)</author>
    <author>Sabine Schuh</author>
  </authors>
  <commentList>
    <comment ref="N4" authorId="0" shapeId="0" xr:uid="{00000000-0006-0000-0900-000001000000}">
      <text>
        <r>
          <rPr>
            <b/>
            <sz val="8"/>
            <color indexed="81"/>
            <rFont val="Tahoma"/>
            <family val="2"/>
          </rPr>
          <t>1, wenn die Anwendung des Faktorverfahrens gewählt wurde
(nur in Steuerklasse IV)</t>
        </r>
      </text>
    </comment>
    <comment ref="N5" authorId="0" shapeId="0" xr:uid="{00000000-0006-0000-0900-000002000000}">
      <text>
        <r>
          <rPr>
            <b/>
            <sz val="8"/>
            <color indexed="81"/>
            <rFont val="Tahoma"/>
            <family val="2"/>
          </rPr>
          <t>Auf die Vollendung des 64. Lebensjahres folgendes Kalenderjahr (erforderlich, wenn ALTER1=1)</t>
        </r>
      </text>
    </comment>
    <comment ref="N6" authorId="0" shapeId="0" xr:uid="{00000000-0006-0000-0900-000003000000}">
      <text>
        <r>
          <rPr>
            <b/>
            <sz val="8"/>
            <color indexed="81"/>
            <rFont val="Tahoma"/>
            <family val="2"/>
          </rPr>
          <t>1, wenn das 64. Lebensjahr vor Beginn des Kalenderjahres vollendet wurde, in dem der Lohnzahlungszeitraum endet (§ 24 a EStG), sonst = 0</t>
        </r>
      </text>
    </comment>
    <comment ref="N7" authorId="0" shapeId="0" xr:uid="{00000000-0006-0000-0900-000004000000}">
      <text>
        <r>
          <rPr>
            <b/>
            <sz val="8"/>
            <color indexed="81"/>
            <rFont val="Tahoma"/>
            <family val="2"/>
          </rPr>
          <t>eingetragener Faktor mit drei Nachkommastellen</t>
        </r>
      </text>
    </comment>
    <comment ref="N8" authorId="0" shapeId="0" xr:uid="{00000000-0006-0000-0900-000005000000}">
      <text>
        <r>
          <rPr>
            <b/>
            <sz val="8"/>
            <color indexed="81"/>
            <rFont val="Tahoma"/>
            <family val="2"/>
          </rPr>
          <t xml:space="preserve">Merker für die Vorsorgepauschale
0 = der Arbeitnehmer ist in der gesetzlichen Rentenversicherung
       oder einer berufständischen Versorgungseinrichtung pflicht-
       versichert oder, bei Befreiung von der Versicherungspflicht,
       freiwillig versichert; es gilt die allgemeine Beitragsbemessungs-
       grenze (BBG West)
1 = der Arbeitnehmer ist in der gesetzlichen Rentenversicherung
       oder einer berufständischen Versorgungseinrichtung pflicht-
       versichert oder, bei Befreiung von der Versicherungspflicht,
       freiwillig versichert; es gilt die Beitragsbemessungsgrenze Ost
       (BBG Ost)
2 = wenn nicht 0 oder 1
</t>
        </r>
      </text>
    </comment>
    <comment ref="N9" authorId="1" shapeId="0" xr:uid="{00000000-0006-0000-0900-000006000000}">
      <text>
        <r>
          <rPr>
            <b/>
            <sz val="9"/>
            <color indexed="81"/>
            <rFont val="Tahoma"/>
            <family val="2"/>
          </rPr>
          <t>Kassenindividueller Zusatzbeitragssatz bei einem gesetzlich krankenversicherten Arbeitnehmer in Prozent (bspw. 1,10 für 1,10%) mit 2 Dezimalstellen. Es ist der volle Zusatzbeitragssatz anzugeben. Die Aufteilung in Arbeitnehmer- und Arbeitgeberanteil erfolgt im Programmablauf.</t>
        </r>
        <r>
          <rPr>
            <sz val="9"/>
            <color indexed="81"/>
            <rFont val="Tahoma"/>
            <family val="2"/>
          </rPr>
          <t xml:space="preserve">
</t>
        </r>
      </text>
    </comment>
    <comment ref="N10" authorId="0" shapeId="0" xr:uid="{00000000-0006-0000-0900-000007000000}">
      <text>
        <r>
          <rPr>
            <b/>
            <sz val="8"/>
            <color indexed="81"/>
            <rFont val="Tahoma"/>
            <family val="2"/>
          </rPr>
          <t>Lohnzahlungszeitraum:
1 = Jahr
2 = Monat
3 = Woche
4 = Tag</t>
        </r>
        <r>
          <rPr>
            <sz val="8"/>
            <color indexed="81"/>
            <rFont val="Tahoma"/>
            <family val="2"/>
          </rPr>
          <t xml:space="preserve">
</t>
        </r>
      </text>
    </comment>
    <comment ref="N11" authorId="0" shapeId="0" xr:uid="{00000000-0006-0000-0900-000008000000}">
      <text>
        <r>
          <rPr>
            <b/>
            <sz val="8"/>
            <color indexed="81"/>
            <rFont val="Tahoma"/>
            <family val="2"/>
          </rPr>
          <t>Der als elektronisches Lohnsteuerabzugsmerkmal für den Arbeitgeber nach § 39e EStG festgestellte oder in der Bescheinigung für den Lohnsteuerabzug 2020 eingetragene Freibetrag für den Lohnzahlungszeitraum in Cent</t>
        </r>
      </text>
    </comment>
    <comment ref="N12" authorId="0" shapeId="0" xr:uid="{00000000-0006-0000-0900-000009000000}">
      <text>
        <r>
          <rPr>
            <b/>
            <sz val="8"/>
            <color indexed="81"/>
            <rFont val="Tahoma"/>
            <family val="2"/>
          </rPr>
          <t>Der als elektronisches Lohnsteuerabzugsmerkmal für den Arbeitgeber nach § 39e EStG festgestellte oder in der Bescheinigung für den Lohnsteuerabzug 2020 eingetragene Hinzurechnungsbetrag für den Lohnzahlungszeitraum in Cent</t>
        </r>
      </text>
    </comment>
    <comment ref="N13" authorId="0" shapeId="0" xr:uid="{00000000-0006-0000-0900-00000A000000}">
      <text>
        <r>
          <rPr>
            <b/>
            <sz val="8"/>
            <color indexed="81"/>
            <rFont val="Tahoma"/>
            <family val="2"/>
          </rPr>
          <t>Dem Arbeitgeber mitgeteilte Beiträge des Arbeitnehmers für eine private Basiskranken- bzw. Pflege-Pflichtversicherung im Sinne des § 10 Absatz 1 Nummer 3 EStG in Cent; der Wert ist unabhängig
vom Lohnzahlungszeitraum immer als Monatsbetrag anzugeben</t>
        </r>
      </text>
    </comment>
    <comment ref="N14" authorId="0" shapeId="0" xr:uid="{00000000-0006-0000-0900-00000B000000}">
      <text>
        <r>
          <rPr>
            <b/>
            <sz val="8"/>
            <color indexed="81"/>
            <rFont val="Tahoma"/>
            <family val="2"/>
          </rPr>
          <t>0 = gesetzlich krankenversicherte Arbeitnehmer
1 = ausschließlich privat krankenversicherte Arbeitnehmer
ohne Arbeitgeberzuschuss
2 = ausschließlich privat krankenversicherte Arbeitnehmer
mit Arbeitgeberzuschuss</t>
        </r>
      </text>
    </comment>
    <comment ref="N15" authorId="0" shapeId="0" xr:uid="{00000000-0006-0000-0900-00000C000000}">
      <text>
        <r>
          <rPr>
            <b/>
            <sz val="8"/>
            <color indexed="81"/>
            <rFont val="Tahoma"/>
            <family val="2"/>
          </rPr>
          <t>1, wenn bei der sozialen Pflegeversicherung die Besonderheiten in
Sachsen zu berücksichtigen sind bzw. zu berücksichtigen wären</t>
        </r>
      </text>
    </comment>
    <comment ref="F16" authorId="2" shapeId="0" xr:uid="{00000000-0006-0000-0900-00000D000000}">
      <text>
        <r>
          <rPr>
            <sz val="9"/>
            <color indexed="81"/>
            <rFont val="Segoe UI"/>
            <family val="2"/>
          </rPr>
          <t xml:space="preserve">ja, falls kinderlos und älter als 23 Jahre; sonst nein
</t>
        </r>
      </text>
    </comment>
    <comment ref="N16" authorId="0" shapeId="0" xr:uid="{00000000-0006-0000-0900-00000E000000}">
      <text>
        <r>
          <rPr>
            <b/>
            <sz val="8"/>
            <color indexed="81"/>
            <rFont val="Tahoma"/>
            <family val="2"/>
          </rPr>
          <t>1, wenn der Arbeitnehmer den Zuschlag zur sozialen
Pflegeversicherung zu zahlen hat</t>
        </r>
      </text>
    </comment>
    <comment ref="F17" authorId="2" shapeId="0" xr:uid="{00000000-0006-0000-0900-00000F000000}">
      <text>
        <r>
          <rPr>
            <sz val="8"/>
            <color indexed="81"/>
            <rFont val="Segoe UI"/>
            <family val="2"/>
          </rPr>
          <t>1: ledig, geschieden
2: alleinerziehend
3: verheiratet, wenn Ehepartner in Steuerklasse 5 (höheres Einkommen)
4: verheiratet 
5: verheiratet, wenn Ehepartner in Steuerklasse 3 (niedrigeres Einkommen)
6. zweites Arbeitsverhältnis, unabhängig vom Familienstand</t>
        </r>
      </text>
    </comment>
    <comment ref="N17" authorId="0" shapeId="0" xr:uid="{00000000-0006-0000-0900-000010000000}">
      <text>
        <r>
          <rPr>
            <b/>
            <sz val="8"/>
            <color indexed="81"/>
            <rFont val="Tahoma"/>
            <family val="2"/>
          </rPr>
          <t>Religionsgemeinschaft des Arbeitnehmers lt. elektronischer Lohnsteuerabzugsmerkmale oder der Bescheinigung für den Lohnsteuerabzug 2020 (bei keiner Religionszugehörigkeit = 0)</t>
        </r>
        <r>
          <rPr>
            <sz val="8"/>
            <color indexed="81"/>
            <rFont val="Tahoma"/>
            <family val="2"/>
          </rPr>
          <t xml:space="preserve">
</t>
        </r>
      </text>
    </comment>
    <comment ref="N18" authorId="0" shapeId="0" xr:uid="{00000000-0006-0000-0900-000011000000}">
      <text>
        <r>
          <rPr>
            <b/>
            <sz val="8"/>
            <color indexed="81"/>
            <rFont val="Tahoma"/>
            <family val="2"/>
          </rPr>
          <t>Steuerpflichtiger Arbeitslohn für den Lohnzahlungszeitraum vor Berücksichtigung des Versorgungsfreibetrags und des Zuschlags zum Versorgungsfreibetrag, des Altersentlastungsbetrags und des als elektronisches Lohnsteuerabzugsmerkmal festgestellten oder in der Bescheinigung für den Lohnsteuerabzug 2020 für den Lohnzahlungszeitraum eingetragenen Freibetrags bzw. Hinzurechnungsbetrags in Cent</t>
        </r>
        <r>
          <rPr>
            <sz val="8"/>
            <color indexed="81"/>
            <rFont val="Tahoma"/>
            <family val="2"/>
          </rPr>
          <t xml:space="preserve">
</t>
        </r>
      </text>
    </comment>
    <comment ref="N19" authorId="0" shapeId="0" xr:uid="{00000000-0006-0000-0900-000012000000}">
      <text>
        <r>
          <rPr>
            <b/>
            <sz val="8"/>
            <color indexed="81"/>
            <rFont val="Tahoma"/>
            <family val="2"/>
          </rPr>
          <t>Sterbegeld bei Versorgungsbezügen sowie Kapitalauszahlun-gen/Abfindungen, soweit es sich nicht um Bezüge für mehrere Jahre handelt (in SONSTB enthalten) in Cent</t>
        </r>
        <r>
          <rPr>
            <sz val="8"/>
            <color indexed="81"/>
            <rFont val="Tahoma"/>
            <family val="2"/>
          </rPr>
          <t xml:space="preserve">
</t>
        </r>
      </text>
    </comment>
    <comment ref="N20" authorId="0" shapeId="0" xr:uid="{00000000-0006-0000-0900-000013000000}">
      <text>
        <r>
          <rPr>
            <b/>
            <sz val="8"/>
            <color indexed="81"/>
            <rFont val="Tahoma"/>
            <family val="2"/>
          </rPr>
          <t>Steuerklasse:
1 = I
2 = II
3 = III
4 = IV
5 = V
6 = VI</t>
        </r>
        <r>
          <rPr>
            <sz val="8"/>
            <color indexed="81"/>
            <rFont val="Tahoma"/>
            <family val="2"/>
          </rPr>
          <t xml:space="preserve">
</t>
        </r>
      </text>
    </comment>
    <comment ref="N21" authorId="0" shapeId="0" xr:uid="{00000000-0006-0000-0900-000014000000}">
      <text>
        <r>
          <rPr>
            <b/>
            <sz val="8"/>
            <color indexed="81"/>
            <rFont val="Tahoma"/>
            <family val="2"/>
          </rPr>
          <t xml:space="preserve">In RE4 enthaltene Versorgungsbezüge in Cent </t>
        </r>
        <r>
          <rPr>
            <b/>
            <sz val="8"/>
            <color indexed="81"/>
            <rFont val="Tahoma"/>
            <family val="2"/>
          </rPr>
          <t>(ggf. 0) ggf. unter Berücksichtigung einer geänderten Bemessungsgrundlage nach
§ 19 Absatz 2 Satz 10 und 11 EStG</t>
        </r>
        <r>
          <rPr>
            <sz val="8"/>
            <color indexed="81"/>
            <rFont val="Tahoma"/>
            <family val="2"/>
          </rPr>
          <t xml:space="preserve">
</t>
        </r>
      </text>
    </comment>
    <comment ref="N22" authorId="0" shapeId="0" xr:uid="{00000000-0006-0000-0900-000015000000}">
      <text>
        <r>
          <rPr>
            <b/>
            <sz val="8"/>
            <color indexed="81"/>
            <rFont val="Tahoma"/>
            <family val="2"/>
          </rPr>
          <t>Versorgungsbezug im Januar 2005 bzw. für den ersten vollen Monat, wenn der Versorgungsbezug erstmalig nach Januar 2005 gewährt wurde in Cent</t>
        </r>
      </text>
    </comment>
    <comment ref="N23" authorId="0" shapeId="0" xr:uid="{00000000-0006-0000-0900-000016000000}">
      <text>
        <r>
          <rPr>
            <b/>
            <sz val="8"/>
            <color indexed="81"/>
            <rFont val="Tahoma"/>
            <family val="2"/>
          </rPr>
          <t>Voraussichtliche Sonderzahlungen von Versorgungsbezügen im Kalenderjahr des Versorgungsbeginns bei Versorgungsempfängern ohne Sterbegeld, Kapitalauszahlungen/Abfindungen in Cent</t>
        </r>
      </text>
    </comment>
    <comment ref="N24" authorId="0" shapeId="0" xr:uid="{00000000-0006-0000-0900-000017000000}">
      <text>
        <r>
          <rPr>
            <b/>
            <sz val="8"/>
            <color indexed="81"/>
            <rFont val="Tahoma"/>
            <family val="2"/>
          </rPr>
          <t>Jahr, in dem der Versorgungsbezug erstmalig gewährt wurde; werden mehrere Versorgungsbezüge gezahlt, wird aus Vereinfachungsgründen für die Berechnung des ältestesten erstmaligen Bezugs herangezogen; auf die Möglichkeit der getrennten Abrechnung verschiedenartiger Bezüge (§ 39e Absatz 5a EStG) wird im Übrigen verwiesen</t>
        </r>
      </text>
    </comment>
    <comment ref="F25" authorId="2" shapeId="0" xr:uid="{00000000-0006-0000-0900-000018000000}">
      <text>
        <r>
          <rPr>
            <sz val="9"/>
            <color indexed="81"/>
            <rFont val="Segoe UI"/>
            <family val="2"/>
          </rPr>
          <t xml:space="preserve">z. B. Weihnachtsgeld, Urlaubsgeld
(SV-und steuerpflichtig)
</t>
        </r>
      </text>
    </comment>
    <comment ref="N25" authorId="0" shapeId="0" xr:uid="{00000000-0006-0000-0900-000019000000}">
      <text>
        <r>
          <rPr>
            <b/>
            <sz val="8"/>
            <color indexed="81"/>
            <rFont val="Tahoma"/>
            <family val="2"/>
          </rPr>
          <t>Zahl der Freibeträge für Kinder (eine Dezimalstelle, nur bei Steuer-
klassen I, II, III und IV)</t>
        </r>
        <r>
          <rPr>
            <sz val="8"/>
            <color indexed="81"/>
            <rFont val="Tahoma"/>
            <family val="2"/>
          </rPr>
          <t xml:space="preserve">
</t>
        </r>
      </text>
    </comment>
    <comment ref="N26" authorId="0" shapeId="0" xr:uid="{00000000-0006-0000-0900-00001A000000}">
      <text>
        <r>
          <rPr>
            <b/>
            <sz val="8"/>
            <color indexed="81"/>
            <rFont val="Tahoma"/>
            <family val="2"/>
          </rPr>
          <t>Zahl der Monate, für die im Kalenderjahr Versorgungsbezüge gezahlt werden [nur erforderlich bei Jahresberechnungen (LZZ = 1)]</t>
        </r>
      </text>
    </comment>
    <comment ref="F28" authorId="2" shapeId="0" xr:uid="{00000000-0006-0000-0900-00001B000000}">
      <text>
        <r>
          <rPr>
            <sz val="9"/>
            <color indexed="81"/>
            <rFont val="Segoe UI"/>
            <family val="2"/>
          </rPr>
          <t>Basis: Lohnsteuertabelle 2020; Hinweise zur Berechnung siehe www.bmf-steuerrechner.de</t>
        </r>
      </text>
    </comment>
    <comment ref="F32" authorId="2" shapeId="0" xr:uid="{00000000-0006-0000-0900-00001C000000}">
      <text>
        <r>
          <rPr>
            <sz val="9"/>
            <color indexed="81"/>
            <rFont val="Segoe UI"/>
            <family val="2"/>
          </rPr>
          <t xml:space="preserve">Die Beitrags-bemessungsgrenzen werden nicht berücksichtigt.
</t>
        </r>
      </text>
    </comment>
    <comment ref="N32" authorId="1" shapeId="0" xr:uid="{00000000-0006-0000-0900-00001D000000}">
      <text>
        <r>
          <rPr>
            <b/>
            <sz val="9"/>
            <color indexed="81"/>
            <rFont val="Tahoma"/>
            <family val="2"/>
          </rPr>
          <t>Zuweisung von Werten für bestimmte Sozialversicherungsparameter</t>
        </r>
        <r>
          <rPr>
            <sz val="9"/>
            <color indexed="81"/>
            <rFont val="Tahoma"/>
            <family val="2"/>
          </rPr>
          <t xml:space="preserve">
</t>
        </r>
      </text>
    </comment>
    <comment ref="N33" authorId="1" shapeId="0" xr:uid="{00000000-0006-0000-0900-00001E000000}">
      <text>
        <r>
          <rPr>
            <b/>
            <sz val="9"/>
            <color indexed="81"/>
            <rFont val="Tahoma"/>
            <family val="2"/>
          </rPr>
          <t>allgemeine Beitragsbemessungsgrenze in der allgemeinen Rentenversicherung in EURO</t>
        </r>
        <r>
          <rPr>
            <sz val="9"/>
            <color indexed="81"/>
            <rFont val="Tahoma"/>
            <family val="2"/>
          </rPr>
          <t xml:space="preserve">
</t>
        </r>
      </text>
    </comment>
    <comment ref="N34" authorId="1" shapeId="0" xr:uid="{00000000-0006-0000-0900-00001F000000}">
      <text>
        <r>
          <rPr>
            <b/>
            <sz val="9"/>
            <color indexed="81"/>
            <rFont val="Tahoma"/>
            <family val="2"/>
          </rPr>
          <t>Beitragssatz des Arbeitnehmers in der allgemeinen gesetzlichen Rentenversicherung (4 Dezimalstellen)</t>
        </r>
        <r>
          <rPr>
            <sz val="9"/>
            <color indexed="81"/>
            <rFont val="Tahoma"/>
            <family val="2"/>
          </rPr>
          <t xml:space="preserve">
</t>
        </r>
      </text>
    </comment>
    <comment ref="N35" authorId="1" shapeId="0" xr:uid="{00000000-0006-0000-0900-000020000000}">
      <text>
        <r>
          <rPr>
            <b/>
            <sz val="9"/>
            <color indexed="81"/>
            <rFont val="Tahoma"/>
            <family val="2"/>
          </rPr>
          <t>Teilbetragssatz der Vorsorgepauschale für die Rentenversicherung (2 Dezimalstellen)</t>
        </r>
        <r>
          <rPr>
            <sz val="9"/>
            <color indexed="81"/>
            <rFont val="Tahoma"/>
            <family val="2"/>
          </rPr>
          <t xml:space="preserve">
</t>
        </r>
      </text>
    </comment>
    <comment ref="N36" authorId="1" shapeId="0" xr:uid="{00000000-0006-0000-0900-000021000000}">
      <text>
        <r>
          <rPr>
            <b/>
            <sz val="9"/>
            <color indexed="81"/>
            <rFont val="Tahoma"/>
            <family val="2"/>
          </rPr>
          <t>Beitragsbemessungsgrenze in der gesetzlichen Krankenversicherung und der sozialen Pflegeversicherung in EURO</t>
        </r>
        <r>
          <rPr>
            <sz val="9"/>
            <color indexed="81"/>
            <rFont val="Tahoma"/>
            <family val="2"/>
          </rPr>
          <t xml:space="preserve">
</t>
        </r>
      </text>
    </comment>
    <comment ref="N37" authorId="0" shapeId="0" xr:uid="{00000000-0006-0000-0900-000022000000}">
      <text>
        <r>
          <rPr>
            <b/>
            <sz val="8"/>
            <color indexed="81"/>
            <rFont val="Tahoma"/>
            <family val="2"/>
          </rPr>
          <t>Beitragssatz des Arbeitnehmers zur Krankenversicherung
(5 Dezimalstellen)</t>
        </r>
      </text>
    </comment>
    <comment ref="N38" authorId="0" shapeId="0" xr:uid="{00000000-0006-0000-0900-000023000000}">
      <text>
        <r>
          <rPr>
            <b/>
            <sz val="8"/>
            <color indexed="81"/>
            <rFont val="Tahoma"/>
            <family val="2"/>
          </rPr>
          <t>Beitragssatz des Arbeitgebers zur Krankenversicherung unter Berücksichtigung des durchschnittlichen Zusatzbeitragssatzes für die Ermittlung des Arbeitgeberzuschusses (5 Dezimalstellen)</t>
        </r>
      </text>
    </comment>
    <comment ref="N39" authorId="0" shapeId="0" xr:uid="{00000000-0006-0000-0900-000024000000}">
      <text>
        <r>
          <rPr>
            <b/>
            <sz val="8"/>
            <color indexed="81"/>
            <rFont val="Tahoma"/>
            <family val="2"/>
          </rPr>
          <t>Beitragssatz des Arbeitnehmers zur Pflegeversicherung
(5 Dezimalstellen)</t>
        </r>
      </text>
    </comment>
    <comment ref="N40" authorId="0" shapeId="0" xr:uid="{00000000-0006-0000-0900-000025000000}">
      <text>
        <r>
          <rPr>
            <b/>
            <sz val="8"/>
            <color indexed="81"/>
            <rFont val="Tahoma"/>
            <family val="2"/>
          </rPr>
          <t>Beitragssatz des Arbeitgebers zur Pflegeversicherung
(5 Dezimalstellen)</t>
        </r>
      </text>
    </comment>
    <comment ref="N41" authorId="0" shapeId="0" xr:uid="{00000000-0006-0000-0900-000026000000}">
      <text>
        <r>
          <rPr>
            <b/>
            <sz val="8"/>
            <color indexed="81"/>
            <rFont val="Tahoma"/>
            <family val="2"/>
          </rPr>
          <t>Beitragssatz des Arbeitnehmers zur Pflegeversicherung
(5 Dezimalstellen)</t>
        </r>
      </text>
    </comment>
    <comment ref="N42" authorId="0" shapeId="0" xr:uid="{00000000-0006-0000-0900-000027000000}">
      <text>
        <r>
          <rPr>
            <b/>
            <sz val="8"/>
            <color indexed="81"/>
            <rFont val="Tahoma"/>
            <family val="2"/>
          </rPr>
          <t>Erster Grenzwert in Steuerklasse V/VI in Euro</t>
        </r>
      </text>
    </comment>
    <comment ref="N43" authorId="0" shapeId="0" xr:uid="{00000000-0006-0000-0900-000028000000}">
      <text>
        <r>
          <rPr>
            <b/>
            <sz val="8"/>
            <color indexed="81"/>
            <rFont val="Tahoma"/>
            <family val="2"/>
          </rPr>
          <t>Zweiter Grenzwert in Steuerklasse V/VI in Euro</t>
        </r>
      </text>
    </comment>
    <comment ref="N44" authorId="0" shapeId="0" xr:uid="{00000000-0006-0000-0900-000029000000}">
      <text>
        <r>
          <rPr>
            <b/>
            <sz val="8"/>
            <color indexed="81"/>
            <rFont val="Tahoma"/>
            <family val="2"/>
          </rPr>
          <t>Dritter Grenzwert in Steuerklasse V/VI in Euro</t>
        </r>
      </text>
    </comment>
    <comment ref="N45" authorId="0" shapeId="0" xr:uid="{00000000-0006-0000-0900-00002A000000}">
      <text>
        <r>
          <rPr>
            <b/>
            <sz val="8"/>
            <color indexed="81"/>
            <rFont val="Tahoma"/>
            <family val="2"/>
          </rPr>
          <t>Grundfreibetrag in Euro</t>
        </r>
      </text>
    </comment>
    <comment ref="N46" authorId="0" shapeId="0" xr:uid="{00000000-0006-0000-0900-00002B000000}">
      <text>
        <r>
          <rPr>
            <b/>
            <sz val="8"/>
            <color indexed="81"/>
            <rFont val="Tahoma"/>
            <family val="2"/>
          </rPr>
          <t>Freigrenze für den Solidaritätszuschlag in Euro</t>
        </r>
      </text>
    </comment>
    <comment ref="N48" authorId="0" shapeId="0" xr:uid="{00000000-0006-0000-0900-00002C000000}">
      <text>
        <r>
          <rPr>
            <b/>
            <sz val="9"/>
            <color indexed="81"/>
            <rFont val="Tahoma"/>
            <family val="2"/>
          </rPr>
          <t>Ermittlung des Jahresarbeitslohns und der Freibeträge § 39b Abs. 2 Satz 2 EStG</t>
        </r>
        <r>
          <rPr>
            <sz val="9"/>
            <color indexed="81"/>
            <rFont val="Tahoma"/>
            <family val="2"/>
          </rPr>
          <t xml:space="preserve">
</t>
        </r>
      </text>
    </comment>
    <comment ref="N49" authorId="0" shapeId="0" xr:uid="{00000000-0006-0000-0900-00002D000000}">
      <text>
        <r>
          <rPr>
            <b/>
            <sz val="8"/>
            <color indexed="81"/>
            <rFont val="Tahoma"/>
            <family val="2"/>
          </rPr>
          <t>Auf einen Jahreslohn hochgerechnetes RE4 in Euro, Cent
(2 Dezimalstellen)</t>
        </r>
        <r>
          <rPr>
            <sz val="8"/>
            <color indexed="81"/>
            <rFont val="Tahoma"/>
            <family val="2"/>
          </rPr>
          <t xml:space="preserve">
</t>
        </r>
      </text>
    </comment>
    <comment ref="N50" authorId="0" shapeId="0" xr:uid="{00000000-0006-0000-0900-00002E000000}">
      <text>
        <r>
          <rPr>
            <b/>
            <sz val="8"/>
            <color indexed="81"/>
            <rFont val="Tahoma"/>
            <family val="2"/>
          </rPr>
          <t>Auf einen Jahreslohn hochgerechnetes VBEZ in Euro, Cent
(2 Dezimalstellen)</t>
        </r>
        <r>
          <rPr>
            <sz val="8"/>
            <color indexed="81"/>
            <rFont val="Tahoma"/>
            <family val="2"/>
          </rPr>
          <t xml:space="preserve">
</t>
        </r>
      </text>
    </comment>
    <comment ref="N51" authorId="0" shapeId="0" xr:uid="{00000000-0006-0000-0900-00002F000000}">
      <text>
        <r>
          <rPr>
            <b/>
            <sz val="8"/>
            <color indexed="81"/>
            <rFont val="Tahoma"/>
            <family val="2"/>
          </rPr>
          <t>Auf einen Jahreslohn hochgerechnetes LZZFREIB in Euro, Cent
(2 Dezimalstellen)</t>
        </r>
        <r>
          <rPr>
            <sz val="8"/>
            <color indexed="81"/>
            <rFont val="Tahoma"/>
            <family val="2"/>
          </rPr>
          <t xml:space="preserve">
</t>
        </r>
      </text>
    </comment>
    <comment ref="N52" authorId="0" shapeId="0" xr:uid="{00000000-0006-0000-0900-000030000000}">
      <text>
        <r>
          <rPr>
            <b/>
            <sz val="8"/>
            <color indexed="81"/>
            <rFont val="Tahoma"/>
            <family val="2"/>
          </rPr>
          <t>Auf einen Jahreslohn hochgerechnetes LZZHINZU in Euro, Cent
(2 Dezimalstellen)</t>
        </r>
        <r>
          <rPr>
            <sz val="8"/>
            <color indexed="81"/>
            <rFont val="Tahoma"/>
            <family val="2"/>
          </rPr>
          <t xml:space="preserve">
</t>
        </r>
      </text>
    </comment>
    <comment ref="N53" authorId="0" shapeId="0" xr:uid="{00000000-0006-0000-0900-000031000000}">
      <text>
        <r>
          <rPr>
            <b/>
            <sz val="8"/>
            <color indexed="81"/>
            <rFont val="Tahoma"/>
            <family val="2"/>
          </rPr>
          <t>eingetragener Faktor mit drei Nachkommastellen</t>
        </r>
      </text>
    </comment>
    <comment ref="N55" authorId="0" shapeId="0" xr:uid="{00000000-0006-0000-0900-000032000000}">
      <text>
        <r>
          <rPr>
            <b/>
            <sz val="8"/>
            <color indexed="81"/>
            <rFont val="Tahoma"/>
            <family val="2"/>
          </rPr>
          <t>Freibeträge für Versorgungsbezüge, Altersentlastungsbetrag
(§ 39 b Absatz 2 Satz 3 EStG)</t>
        </r>
      </text>
    </comment>
    <comment ref="N56" authorId="0" shapeId="0" xr:uid="{00000000-0006-0000-0900-000033000000}">
      <text>
        <r>
          <rPr>
            <b/>
            <sz val="8"/>
            <color indexed="81"/>
            <rFont val="Tahoma"/>
            <family val="2"/>
          </rPr>
          <t>Nummer der Tabellenwerte für Versorgungsparameter</t>
        </r>
      </text>
    </comment>
    <comment ref="N57" authorId="0" shapeId="0" xr:uid="{00000000-0006-0000-0900-000034000000}">
      <text>
        <r>
          <rPr>
            <b/>
            <sz val="8"/>
            <color indexed="81"/>
            <rFont val="Tahoma"/>
            <family val="2"/>
          </rPr>
          <t>Tabelle für die Prozentsätze des Versorgungsfreibetrags</t>
        </r>
      </text>
    </comment>
    <comment ref="N58" authorId="0" shapeId="0" xr:uid="{00000000-0006-0000-0900-000035000000}">
      <text>
        <r>
          <rPr>
            <b/>
            <sz val="8"/>
            <color indexed="81"/>
            <rFont val="Tahoma"/>
            <family val="2"/>
          </rPr>
          <t>Tabelle für die Höchstbeträge des Versorgungsfreibetrags</t>
        </r>
      </text>
    </comment>
    <comment ref="N59" authorId="0" shapeId="0" xr:uid="{00000000-0006-0000-0900-000036000000}">
      <text>
        <r>
          <rPr>
            <b/>
            <sz val="8"/>
            <color indexed="81"/>
            <rFont val="Tahoma"/>
            <family val="2"/>
          </rPr>
          <t>Tabelle für die Zuschläge des Versorgungsfreibetrags</t>
        </r>
      </text>
    </comment>
    <comment ref="N60" authorId="0" shapeId="0" xr:uid="{00000000-0006-0000-0900-000037000000}">
      <text>
        <r>
          <rPr>
            <b/>
            <sz val="8"/>
            <color indexed="81"/>
            <rFont val="Tahoma"/>
            <family val="2"/>
          </rPr>
          <t>Bemessungsgrundlage für den Versorgungsfreibetrag in Cent</t>
        </r>
        <r>
          <rPr>
            <sz val="8"/>
            <color indexed="81"/>
            <rFont val="Tahoma"/>
            <family val="2"/>
          </rPr>
          <t xml:space="preserve">
</t>
        </r>
      </text>
    </comment>
    <comment ref="N61" authorId="0" shapeId="0" xr:uid="{00000000-0006-0000-0900-000038000000}">
      <text>
        <r>
          <rPr>
            <b/>
            <sz val="8"/>
            <color indexed="81"/>
            <rFont val="Tahoma"/>
            <family val="2"/>
          </rPr>
          <t>Maßgeblicher maximaler Versorgungsfreibetrag in Euro</t>
        </r>
        <r>
          <rPr>
            <sz val="8"/>
            <color indexed="81"/>
            <rFont val="Tahoma"/>
            <family val="2"/>
          </rPr>
          <t xml:space="preserve">
</t>
        </r>
      </text>
    </comment>
    <comment ref="N62" authorId="0" shapeId="0" xr:uid="{00000000-0006-0000-0900-000039000000}">
      <text>
        <r>
          <rPr>
            <b/>
            <sz val="8"/>
            <color indexed="81"/>
            <rFont val="Tahoma"/>
            <family val="2"/>
          </rPr>
          <t>Zuschlag zum Versorgungsfreibetrag in Euro</t>
        </r>
      </text>
    </comment>
    <comment ref="N63" authorId="0" shapeId="0" xr:uid="{00000000-0006-0000-0900-00003A000000}">
      <text>
        <r>
          <rPr>
            <b/>
            <sz val="8"/>
            <color indexed="81"/>
            <rFont val="Tahoma"/>
            <family val="2"/>
          </rPr>
          <t>Versorgungsfreibetrag in Euro, Cent (2 Dezimalstellen)</t>
        </r>
        <r>
          <rPr>
            <sz val="8"/>
            <color indexed="81"/>
            <rFont val="Tahoma"/>
            <family val="2"/>
          </rPr>
          <t xml:space="preserve">
</t>
        </r>
      </text>
    </comment>
    <comment ref="N64" authorId="0" shapeId="0" xr:uid="{00000000-0006-0000-0900-00003B000000}">
      <text>
        <r>
          <rPr>
            <b/>
            <sz val="8"/>
            <color indexed="81"/>
            <rFont val="Tahoma"/>
            <family val="2"/>
          </rPr>
          <t>Versorgungsfreibetrag in Euro, Cent (2 Dezimalstellen)</t>
        </r>
        <r>
          <rPr>
            <sz val="8"/>
            <color indexed="81"/>
            <rFont val="Tahoma"/>
            <family val="2"/>
          </rPr>
          <t xml:space="preserve">
</t>
        </r>
      </text>
    </comment>
    <comment ref="N65" authorId="0" shapeId="0" xr:uid="{00000000-0006-0000-0900-00003C000000}">
      <text>
        <r>
          <rPr>
            <b/>
            <sz val="8"/>
            <color indexed="81"/>
            <rFont val="Tahoma"/>
            <family val="2"/>
          </rPr>
          <t>Maßgeblicher maximaler Zuschlag zum Versorgungsfreibetrag
in Euro, Cent (2 Dezimalstellen)</t>
        </r>
        <r>
          <rPr>
            <sz val="8"/>
            <color indexed="81"/>
            <rFont val="Tahoma"/>
            <family val="2"/>
          </rPr>
          <t xml:space="preserve">
</t>
        </r>
      </text>
    </comment>
    <comment ref="N66" authorId="0" shapeId="0" xr:uid="{00000000-0006-0000-0900-00003D000000}">
      <text>
        <r>
          <rPr>
            <b/>
            <sz val="8"/>
            <color indexed="81"/>
            <rFont val="Tahoma"/>
            <family val="2"/>
          </rPr>
          <t>Zuschlag zum Versorgungsfreibetrag in Euro</t>
        </r>
      </text>
    </comment>
    <comment ref="N68" authorId="0" shapeId="0" xr:uid="{00000000-0006-0000-0900-00003E000000}">
      <text>
        <r>
          <rPr>
            <b/>
            <sz val="8"/>
            <color indexed="81"/>
            <rFont val="Tahoma"/>
            <family val="2"/>
          </rPr>
          <t>Altersentlastungsbetrag (§39b Absatz 2 Satz 3 EStG)</t>
        </r>
      </text>
    </comment>
    <comment ref="N69" authorId="0" shapeId="0" xr:uid="{00000000-0006-0000-0900-00003F000000}">
      <text>
        <r>
          <rPr>
            <b/>
            <sz val="8"/>
            <color indexed="81"/>
            <rFont val="Tahoma"/>
            <family val="2"/>
          </rPr>
          <t>Nummer der Tabellenwerte für Parameter bei Altersentlastungsbetrag</t>
        </r>
      </text>
    </comment>
    <comment ref="N70" authorId="0" shapeId="0" xr:uid="{00000000-0006-0000-0900-000040000000}">
      <text>
        <r>
          <rPr>
            <b/>
            <sz val="8"/>
            <color indexed="81"/>
            <rFont val="Tahoma"/>
            <family val="2"/>
          </rPr>
          <t>Tabelle für die Prozentsätze des Altersentlastungsbetrags</t>
        </r>
      </text>
    </comment>
    <comment ref="N71" authorId="0" shapeId="0" xr:uid="{00000000-0006-0000-0900-000041000000}">
      <text>
        <r>
          <rPr>
            <b/>
            <sz val="8"/>
            <color indexed="81"/>
            <rFont val="Tahoma"/>
            <family val="2"/>
          </rPr>
          <t>Tabelle für die Höchstbeträge des Altersentlastungsbetrags</t>
        </r>
      </text>
    </comment>
    <comment ref="N72" authorId="0" shapeId="0" xr:uid="{00000000-0006-0000-0900-000042000000}">
      <text>
        <r>
          <rPr>
            <b/>
            <sz val="8"/>
            <color indexed="81"/>
            <rFont val="Tahoma"/>
            <family val="2"/>
          </rPr>
          <t>Bemessungsgrundlage für Altersentlastungsbetrag in Euro, Cent
(2 Dezimalstellen)</t>
        </r>
      </text>
    </comment>
    <comment ref="N73" authorId="0" shapeId="0" xr:uid="{00000000-0006-0000-0900-000043000000}">
      <text>
        <r>
          <rPr>
            <b/>
            <sz val="8"/>
            <color indexed="81"/>
            <rFont val="Tahoma"/>
            <family val="2"/>
          </rPr>
          <t>Altersentlastungsbetrag in Euro, Cent (2 Dezimalstellen)</t>
        </r>
        <r>
          <rPr>
            <sz val="8"/>
            <color indexed="81"/>
            <rFont val="Tahoma"/>
            <family val="2"/>
          </rPr>
          <t xml:space="preserve">
</t>
        </r>
      </text>
    </comment>
    <comment ref="N74" authorId="0" shapeId="0" xr:uid="{00000000-0006-0000-0900-000044000000}">
      <text>
        <r>
          <rPr>
            <b/>
            <sz val="8"/>
            <color indexed="81"/>
            <rFont val="Tahoma"/>
            <family val="2"/>
          </rPr>
          <t>Maximaler Altersentlastungsbetrag in Euro</t>
        </r>
      </text>
    </comment>
    <comment ref="N75" authorId="0" shapeId="0" xr:uid="{00000000-0006-0000-0900-000045000000}">
      <text>
        <r>
          <rPr>
            <b/>
            <sz val="8"/>
            <color indexed="81"/>
            <rFont val="Tahoma"/>
            <family val="2"/>
          </rPr>
          <t>Altersentlastungsbetrag in Euro, Cent (2 Dezimalstellen)</t>
        </r>
        <r>
          <rPr>
            <sz val="8"/>
            <color indexed="81"/>
            <rFont val="Tahoma"/>
            <family val="2"/>
          </rPr>
          <t xml:space="preserve">
</t>
        </r>
      </text>
    </comment>
    <comment ref="N77" authorId="0" shapeId="0" xr:uid="{00000000-0006-0000-0900-000046000000}">
      <text>
        <r>
          <rPr>
            <b/>
            <sz val="8"/>
            <color indexed="81"/>
            <rFont val="Tahoma"/>
            <family val="2"/>
          </rPr>
          <t>Ermittlung des Jahresarbeitslohns nach Abzug der Freibeträge nach § 39 b Absatz 2 Satz 3 und 4 EStG</t>
        </r>
      </text>
    </comment>
    <comment ref="N78" authorId="0" shapeId="0" xr:uid="{00000000-0006-0000-0900-000047000000}">
      <text>
        <r>
          <rPr>
            <b/>
            <sz val="8"/>
            <color indexed="81"/>
            <rFont val="Tahoma"/>
            <family val="2"/>
          </rPr>
          <t>Auf einen Jahreslohn hochgerechnetes RE4 in Euro, Cent
(2 Dezimalstellen) nach Abzug der Freibeträge nach
§ 39 b Absatz 2 Satz 3 und 4 EStG</t>
        </r>
      </text>
    </comment>
    <comment ref="N79" authorId="0" shapeId="0" xr:uid="{00000000-0006-0000-0900-000048000000}">
      <text>
        <r>
          <rPr>
            <b/>
            <sz val="8"/>
            <color indexed="81"/>
            <rFont val="Tahoma"/>
            <family val="2"/>
          </rPr>
          <t>Auf einen Jahreslohn hochgerechnetes RE4 in Euro, Cent
(2 Dezimalstellen) nach Abzug der Freibeträge nach
§ 39 b Absatz 2 Satz 3 und 4 EStG</t>
        </r>
      </text>
    </comment>
    <comment ref="N80" authorId="0" shapeId="0" xr:uid="{00000000-0006-0000-0900-000049000000}">
      <text>
        <r>
          <rPr>
            <b/>
            <sz val="8"/>
            <color indexed="81"/>
            <rFont val="Tahoma"/>
            <family val="2"/>
          </rPr>
          <t>Auf einen Jahreslohn hochgerechnetes RE4, ggf. nach Abzug der Entschädigungen i.S.d. § 24 Nummer 1 EStG in Euro, Cent (2 Dezimalstellen)</t>
        </r>
      </text>
    </comment>
    <comment ref="N81" authorId="0" shapeId="0" xr:uid="{00000000-0006-0000-0900-00004A000000}">
      <text>
        <r>
          <rPr>
            <b/>
            <sz val="8"/>
            <color indexed="81"/>
            <rFont val="Tahoma"/>
            <family val="2"/>
          </rPr>
          <t>Auf einen Jahreslohn hochgerechnetes VBEZ abzüglich FVB
in Euro, Cent (2 Dezimalstellen)</t>
        </r>
      </text>
    </comment>
    <comment ref="N82" authorId="0" shapeId="0" xr:uid="{00000000-0006-0000-0900-00004B000000}">
      <text>
        <r>
          <rPr>
            <b/>
            <sz val="8"/>
            <color indexed="81"/>
            <rFont val="Tahoma"/>
            <family val="2"/>
          </rPr>
          <t>Auf einen Jahreslohn hochgerechnetes VBEZ abzüglich FVB
in Euro, Cent (2 Dezimalstellen)</t>
        </r>
      </text>
    </comment>
    <comment ref="N84" authorId="0" shapeId="0" xr:uid="{00000000-0006-0000-0900-00004C000000}">
      <text>
        <r>
          <rPr>
            <b/>
            <sz val="8"/>
            <color indexed="81"/>
            <rFont val="Tahoma"/>
            <family val="2"/>
          </rPr>
          <t>Berechnung für laufende Lohnzahlungszeiträume</t>
        </r>
        <r>
          <rPr>
            <sz val="8"/>
            <color indexed="81"/>
            <rFont val="Tahoma"/>
            <family val="2"/>
          </rPr>
          <t xml:space="preserve">
</t>
        </r>
      </text>
    </comment>
    <comment ref="N86" authorId="0" shapeId="0" xr:uid="{00000000-0006-0000-0900-00004D000000}">
      <text>
        <r>
          <rPr>
            <b/>
            <sz val="8"/>
            <color indexed="81"/>
            <rFont val="Tahoma"/>
            <family val="2"/>
          </rPr>
          <t>Ermittlung der festen Tabellenfreibeträge (ohne
Vorsorgepauschale)</t>
        </r>
        <r>
          <rPr>
            <sz val="8"/>
            <color indexed="81"/>
            <rFont val="Tahoma"/>
            <family val="2"/>
          </rPr>
          <t xml:space="preserve">
</t>
        </r>
      </text>
    </comment>
    <comment ref="N87" authorId="0" shapeId="0" xr:uid="{00000000-0006-0000-0900-00004E000000}">
      <text>
        <r>
          <rPr>
            <b/>
            <sz val="8"/>
            <color indexed="81"/>
            <rFont val="Tahoma"/>
            <family val="2"/>
          </rPr>
          <t>Kennzahl für die Einkommensteuer-Tarifarten:
1 = Grundtarif
2 = Splittingverfahren</t>
        </r>
        <r>
          <rPr>
            <sz val="8"/>
            <color indexed="81"/>
            <rFont val="Tahoma"/>
            <family val="2"/>
          </rPr>
          <t xml:space="preserve">
</t>
        </r>
      </text>
    </comment>
    <comment ref="N88" authorId="0" shapeId="0" xr:uid="{00000000-0006-0000-0900-00004F000000}">
      <text>
        <r>
          <rPr>
            <b/>
            <sz val="8"/>
            <color indexed="81"/>
            <rFont val="Tahoma"/>
            <family val="2"/>
          </rPr>
          <t>Arbeitnehmer-Pauschbetrag / Werbungskosten-Pauschbetrag in Euro</t>
        </r>
      </text>
    </comment>
    <comment ref="N89" authorId="0" shapeId="0" xr:uid="{00000000-0006-0000-0900-000050000000}">
      <text>
        <r>
          <rPr>
            <b/>
            <sz val="8"/>
            <color indexed="81"/>
            <rFont val="Tahoma"/>
            <family val="2"/>
          </rPr>
          <t>Entlastungsbetrag für Alleinerziehende in Euro</t>
        </r>
      </text>
    </comment>
    <comment ref="N90" authorId="0" shapeId="0" xr:uid="{00000000-0006-0000-0900-000051000000}">
      <text>
        <r>
          <rPr>
            <b/>
            <sz val="8"/>
            <color indexed="81"/>
            <rFont val="Tahoma"/>
            <family val="2"/>
          </rPr>
          <t>Sonderausgaben-Pauschbetrag in Euro</t>
        </r>
      </text>
    </comment>
    <comment ref="N91" authorId="0" shapeId="0" xr:uid="{00000000-0006-0000-0900-000052000000}">
      <text>
        <r>
          <rPr>
            <b/>
            <sz val="8"/>
            <color indexed="81"/>
            <rFont val="Tahoma"/>
            <family val="2"/>
          </rPr>
          <t>Summe der Freibeträge für Kinder in Euro</t>
        </r>
      </text>
    </comment>
    <comment ref="N92" authorId="0" shapeId="0" xr:uid="{00000000-0006-0000-0900-000053000000}">
      <text>
        <r>
          <rPr>
            <b/>
            <sz val="8"/>
            <color indexed="81"/>
            <rFont val="Tahoma"/>
            <family val="2"/>
          </rPr>
          <t>Feste Tabellenfreibeträge (ohne Vorsorgepauschale) in Euro, Cent
(2 Dezimalstellen)</t>
        </r>
        <r>
          <rPr>
            <sz val="8"/>
            <color indexed="81"/>
            <rFont val="Tahoma"/>
            <family val="2"/>
          </rPr>
          <t xml:space="preserve">
</t>
        </r>
      </text>
    </comment>
    <comment ref="N94" authorId="0" shapeId="0" xr:uid="{00000000-0006-0000-0900-000054000000}">
      <text>
        <r>
          <rPr>
            <b/>
            <sz val="8"/>
            <color indexed="81"/>
            <rFont val="Tahoma"/>
            <family val="2"/>
          </rPr>
          <t>Ermittlung Jahreslohnsteuer</t>
        </r>
      </text>
    </comment>
    <comment ref="N96" authorId="0" shapeId="0" xr:uid="{00000000-0006-0000-0900-000055000000}">
      <text>
        <r>
          <rPr>
            <b/>
            <sz val="8"/>
            <color indexed="81"/>
            <rFont val="Tahoma"/>
            <family val="2"/>
          </rPr>
          <t>Vorsorgepauschale (§39b Absatz 2 Satz 5 Nummer 3 EStG)
nach dem Bürgerentlastungsgesetz Krankenversicherung</t>
        </r>
      </text>
    </comment>
    <comment ref="N97" authorId="0" shapeId="0" xr:uid="{00000000-0006-0000-0900-000056000000}">
      <text>
        <r>
          <rPr>
            <b/>
            <sz val="8"/>
            <color indexed="81"/>
            <rFont val="Tahoma"/>
            <family val="2"/>
          </rPr>
          <t>Zwischenwert 1 bei der Berechnung der Vorsorgepauschale in Euro, Cent (2 Dezimalstellen)</t>
        </r>
      </text>
    </comment>
    <comment ref="N98" authorId="0" shapeId="0" xr:uid="{00000000-0006-0000-0900-000057000000}">
      <text>
        <r>
          <rPr>
            <b/>
            <sz val="8"/>
            <color indexed="81"/>
            <rFont val="Tahoma"/>
            <family val="2"/>
          </rPr>
          <t>Auf einen Jahreslohn hochgerechnetes RE4, ggf. nach Abzug der Entschädigungen i.S.d. § 24 Nummer 1 EStG in Euro, Cent (2 Dezimalstellen)</t>
        </r>
      </text>
    </comment>
    <comment ref="N99" authorId="0" shapeId="0" xr:uid="{00000000-0006-0000-0900-000058000000}">
      <text>
        <r>
          <rPr>
            <b/>
            <sz val="8"/>
            <color indexed="81"/>
            <rFont val="Tahoma"/>
            <family val="2"/>
          </rPr>
          <t>Zwischenwert 1 bei der Berechnung der Vorsorgepauschale in Euro, Cent (2 Dezimalstellen)</t>
        </r>
      </text>
    </comment>
    <comment ref="N100" authorId="0" shapeId="0" xr:uid="{00000000-0006-0000-0900-000059000000}">
      <text>
        <r>
          <rPr>
            <b/>
            <sz val="8"/>
            <color indexed="81"/>
            <rFont val="Tahoma"/>
            <family val="2"/>
          </rPr>
          <t>Zwischenwert 1 bei der Berechnung der Vorsorgepauschale in Euro, Cent (2 Dezimalstellen)</t>
        </r>
      </text>
    </comment>
    <comment ref="N101" authorId="0" shapeId="0" xr:uid="{00000000-0006-0000-0900-00005A000000}">
      <text>
        <r>
          <rPr>
            <b/>
            <sz val="8"/>
            <color indexed="81"/>
            <rFont val="Tahoma"/>
            <family val="2"/>
          </rPr>
          <t>Zwischenwert 2 bei der Berechnung der Vorsorgepauschale in Euro, Cent (2 Dezimalstellen)</t>
        </r>
      </text>
    </comment>
    <comment ref="N102" authorId="0" shapeId="0" xr:uid="{00000000-0006-0000-0900-00005B000000}">
      <text>
        <r>
          <rPr>
            <b/>
            <sz val="8"/>
            <color indexed="81"/>
            <rFont val="Tahoma"/>
            <family val="2"/>
          </rPr>
          <t>Höchstbetrag der Mindestvorsorgepauschale für die Kranken- und
Pflegeversicherung in Euro, Cent (2 Dezimalstellen)
(2 Dezimalstellen)</t>
        </r>
      </text>
    </comment>
    <comment ref="N103" authorId="0" shapeId="0" xr:uid="{00000000-0006-0000-0900-00005C000000}">
      <text>
        <r>
          <rPr>
            <b/>
            <sz val="8"/>
            <color indexed="81"/>
            <rFont val="Tahoma"/>
            <family val="2"/>
          </rPr>
          <t>Zwischenwert 2 bei der Berechnung der Vorsorgepauschale in Euro, Cent (2 Dezimalstellen)</t>
        </r>
      </text>
    </comment>
    <comment ref="N104" authorId="0" shapeId="0" xr:uid="{00000000-0006-0000-0900-00005D000000}">
      <text>
        <r>
          <rPr>
            <b/>
            <sz val="8"/>
            <color indexed="81"/>
            <rFont val="Tahoma"/>
            <family val="2"/>
          </rPr>
          <t xml:space="preserve">Vorsorgepauschale mit Teilbeträgen für die Rentenversicherung
sowie der Mindestvorsorgepauschale für die Kranken- und Pflege-versicherung in Euro, Cent (2 Dezimalstellen)
</t>
        </r>
      </text>
    </comment>
    <comment ref="N106" authorId="0" shapeId="0" xr:uid="{00000000-0006-0000-0900-00005E000000}">
      <text>
        <r>
          <rPr>
            <b/>
            <sz val="8"/>
            <color indexed="81"/>
            <rFont val="Tahoma"/>
            <family val="2"/>
          </rPr>
          <t>Vorsorgepauschale (§ 39b Absatz 2 Satz 5 Nummer 3 EStG) Vergleichsberechnung zur Mindestvorsorgepauschale</t>
        </r>
        <r>
          <rPr>
            <sz val="8"/>
            <color indexed="81"/>
            <rFont val="Tahoma"/>
            <family val="2"/>
          </rPr>
          <t xml:space="preserve">
</t>
        </r>
      </text>
    </comment>
    <comment ref="N107" authorId="0" shapeId="0" xr:uid="{00000000-0006-0000-0900-00005F000000}">
      <text>
        <r>
          <rPr>
            <b/>
            <sz val="8"/>
            <color indexed="81"/>
            <rFont val="Tahoma"/>
            <family val="2"/>
          </rPr>
          <t>Auf einen Jahreslohn hochgerechnetes RE4, ggf. nach Abzug der Entschädigungen i.S.d. § 24 Nummer 1 EStG in Euro, Cent (2 Dezimalstellen)</t>
        </r>
      </text>
    </comment>
    <comment ref="N108" authorId="0" shapeId="0" xr:uid="{00000000-0006-0000-0900-000060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09" authorId="0" shapeId="0" xr:uid="{00000000-0006-0000-0900-000061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10" authorId="0" shapeId="0" xr:uid="{00000000-0006-0000-0900-000062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11" authorId="0" shapeId="0" xr:uid="{00000000-0006-0000-0900-000063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12" authorId="0" shapeId="0" xr:uid="{00000000-0006-0000-0900-000064000000}">
      <text>
        <r>
          <rPr>
            <b/>
            <sz val="8"/>
            <color indexed="81"/>
            <rFont val="Tahoma"/>
            <family val="2"/>
          </rPr>
          <t xml:space="preserve">Vorsorgepauschale mit Teilbeträgen für die gesetzliche Kranken- und soziale Pflegeversicherung nach fiktiven Beträgen oder ggf. für die private Basiskrankenversicherung und private Pflege-Pflichtversicherung in Euro, Cent (2 Dezimalstellen)
</t>
        </r>
      </text>
    </comment>
    <comment ref="N113" authorId="0" shapeId="0" xr:uid="{00000000-0006-0000-0900-000065000000}">
      <text>
        <r>
          <rPr>
            <b/>
            <sz val="8"/>
            <color indexed="81"/>
            <rFont val="Tahoma"/>
            <family val="2"/>
          </rPr>
          <t xml:space="preserve">Vorsorgepauschale mit Teilbeträgen für die Rentenversicherung
sowie die gesetzliche Kranken- und soziale Pflegeversicherung
nach fiktiven Beträgen oder ggf. für die private Basiskrankenversicherung und private Pflege-Pflichtversicherung in Euro, Cent (2 Dezimalstellen)
</t>
        </r>
      </text>
    </comment>
    <comment ref="N115" authorId="0" shapeId="0" xr:uid="{00000000-0006-0000-0900-000066000000}">
      <text>
        <r>
          <rPr>
            <b/>
            <sz val="8"/>
            <color indexed="81"/>
            <rFont val="Tahoma"/>
            <family val="2"/>
          </rPr>
          <t>Vorsorgepauschale (§39b Absatz 2 Satz 5 Nummer 3 EStG)
nach dem Bürgerentlastungsgesetz Krankenversicherung</t>
        </r>
      </text>
    </comment>
    <comment ref="N116" authorId="0" shapeId="0" xr:uid="{00000000-0006-0000-0900-000067000000}">
      <text>
        <r>
          <rPr>
            <b/>
            <sz val="8"/>
            <color indexed="81"/>
            <rFont val="Tahoma"/>
            <family val="2"/>
          </rPr>
          <t xml:space="preserve">Vorsorgepauschale mit Teilbeträgen für die Rentenversicherung
sowie die gesetzliche Kranken- und soziale Pflegeversicherung
nach fiktiven Beträgen oder ggf. für die private Basiskrankenversicherung und private Pflege-Pflichtversicherung in Euro, Cent (2 Dezimalstellen)
</t>
        </r>
      </text>
    </comment>
    <comment ref="N118" authorId="0" shapeId="0" xr:uid="{00000000-0006-0000-0900-000068000000}">
      <text>
        <r>
          <rPr>
            <b/>
            <sz val="8"/>
            <color indexed="81"/>
            <rFont val="Tahoma"/>
            <family val="2"/>
          </rPr>
          <t>Ermittlung Jahreslohnsteuer</t>
        </r>
      </text>
    </comment>
    <comment ref="N119" authorId="0" shapeId="0" xr:uid="{00000000-0006-0000-0900-000069000000}">
      <text>
        <r>
          <rPr>
            <b/>
            <sz val="8"/>
            <color indexed="81"/>
            <rFont val="Tahoma"/>
            <family val="2"/>
          </rPr>
          <t>Zu versteuerndes Einkommen in Euro, Cent (2 Dezimalstellen)</t>
        </r>
      </text>
    </comment>
    <comment ref="N122" authorId="0" shapeId="0" xr:uid="{00000000-0006-0000-0900-00006A000000}">
      <text>
        <r>
          <rPr>
            <b/>
            <sz val="8"/>
            <color indexed="81"/>
            <rFont val="Tahoma"/>
            <family val="2"/>
          </rPr>
          <t>Zu versteuerndes Einkommen in Euro, Cent (2 Dezimalstellen)</t>
        </r>
      </text>
    </comment>
    <comment ref="N124" authorId="0" shapeId="0" xr:uid="{00000000-0006-0000-0900-00006B000000}">
      <text>
        <r>
          <rPr>
            <b/>
            <sz val="8"/>
            <color indexed="81"/>
            <rFont val="Tahoma"/>
            <family val="2"/>
          </rPr>
          <t>Tarifliche Einkommensteuer (§ 32a EStG)</t>
        </r>
      </text>
    </comment>
    <comment ref="N125" authorId="0" shapeId="0" xr:uid="{00000000-0006-0000-0900-00006C000000}">
      <text>
        <r>
          <rPr>
            <b/>
            <sz val="8"/>
            <color indexed="81"/>
            <rFont val="Tahoma"/>
            <family val="2"/>
          </rPr>
          <t xml:space="preserve">Tarifliche Einkommensteuer in Euro
</t>
        </r>
        <r>
          <rPr>
            <sz val="8"/>
            <color indexed="81"/>
            <rFont val="Tahoma"/>
            <family val="2"/>
          </rPr>
          <t xml:space="preserve">
</t>
        </r>
      </text>
    </comment>
    <comment ref="N126" authorId="0" shapeId="0" xr:uid="{00000000-0006-0000-0900-00006D000000}">
      <text>
        <r>
          <rPr>
            <b/>
            <sz val="8"/>
            <color indexed="81"/>
            <rFont val="Tahoma"/>
            <family val="2"/>
          </rPr>
          <t>Gem. § 32 a Absatz 1 EStG (6 Dezimalstellen)</t>
        </r>
        <r>
          <rPr>
            <sz val="8"/>
            <color indexed="81"/>
            <rFont val="Tahoma"/>
            <family val="2"/>
          </rPr>
          <t xml:space="preserve">
</t>
        </r>
      </text>
    </comment>
    <comment ref="N127" authorId="0" shapeId="0" xr:uid="{00000000-0006-0000-0900-00006E000000}">
      <text>
        <r>
          <rPr>
            <b/>
            <sz val="8"/>
            <color indexed="81"/>
            <rFont val="Tahoma"/>
            <family val="2"/>
          </rPr>
          <t>Rechenwert in Gleitkommadarstellung</t>
        </r>
        <r>
          <rPr>
            <sz val="8"/>
            <color indexed="81"/>
            <rFont val="Tahoma"/>
            <family val="2"/>
          </rPr>
          <t xml:space="preserve">
</t>
        </r>
      </text>
    </comment>
    <comment ref="N128" authorId="0" shapeId="0" xr:uid="{00000000-0006-0000-0900-00006F000000}">
      <text>
        <r>
          <rPr>
            <b/>
            <sz val="8"/>
            <color indexed="81"/>
            <rFont val="Tahoma"/>
            <family val="2"/>
          </rPr>
          <t>Rechenwert in Gleitkommadarstellung</t>
        </r>
        <r>
          <rPr>
            <sz val="8"/>
            <color indexed="81"/>
            <rFont val="Tahoma"/>
            <family val="2"/>
          </rPr>
          <t xml:space="preserve">
</t>
        </r>
      </text>
    </comment>
    <comment ref="N129" authorId="0" shapeId="0" xr:uid="{00000000-0006-0000-0900-000070000000}">
      <text>
        <r>
          <rPr>
            <b/>
            <sz val="8"/>
            <color indexed="81"/>
            <rFont val="Tahoma"/>
            <family val="2"/>
          </rPr>
          <t xml:space="preserve">Tarifliche Einkommensteuer in Euro
</t>
        </r>
        <r>
          <rPr>
            <sz val="8"/>
            <color indexed="81"/>
            <rFont val="Tahoma"/>
            <family val="2"/>
          </rPr>
          <t xml:space="preserve">
</t>
        </r>
      </text>
    </comment>
    <comment ref="N130" authorId="0" shapeId="0" xr:uid="{00000000-0006-0000-0900-000071000000}">
      <text>
        <r>
          <rPr>
            <b/>
            <sz val="8"/>
            <color indexed="81"/>
            <rFont val="Tahoma"/>
            <family val="2"/>
          </rPr>
          <t>Gem. § 32 a Absatz 1 EStG (6 Dezimalstellen)</t>
        </r>
        <r>
          <rPr>
            <sz val="8"/>
            <color indexed="81"/>
            <rFont val="Tahoma"/>
            <family val="2"/>
          </rPr>
          <t xml:space="preserve">
</t>
        </r>
      </text>
    </comment>
    <comment ref="N131" authorId="0" shapeId="0" xr:uid="{00000000-0006-0000-0900-000072000000}">
      <text>
        <r>
          <rPr>
            <b/>
            <sz val="8"/>
            <color indexed="81"/>
            <rFont val="Tahoma"/>
            <family val="2"/>
          </rPr>
          <t>Rechenwert in Gleitkommadarstellung</t>
        </r>
        <r>
          <rPr>
            <sz val="8"/>
            <color indexed="81"/>
            <rFont val="Tahoma"/>
            <family val="2"/>
          </rPr>
          <t xml:space="preserve">
</t>
        </r>
      </text>
    </comment>
    <comment ref="N132" authorId="0" shapeId="0" xr:uid="{00000000-0006-0000-0900-000073000000}">
      <text>
        <r>
          <rPr>
            <b/>
            <sz val="8"/>
            <color indexed="81"/>
            <rFont val="Tahoma"/>
            <family val="2"/>
          </rPr>
          <t>Rechenwert in Gleitkommadarstellung</t>
        </r>
        <r>
          <rPr>
            <sz val="8"/>
            <color indexed="81"/>
            <rFont val="Tahoma"/>
            <family val="2"/>
          </rPr>
          <t xml:space="preserve">
</t>
        </r>
      </text>
    </comment>
    <comment ref="N133" authorId="0" shapeId="0" xr:uid="{00000000-0006-0000-0900-000074000000}">
      <text>
        <r>
          <rPr>
            <b/>
            <sz val="8"/>
            <color indexed="81"/>
            <rFont val="Tahoma"/>
            <family val="2"/>
          </rPr>
          <t>Rechenwert in Gleitkommadarstellung</t>
        </r>
        <r>
          <rPr>
            <sz val="8"/>
            <color indexed="81"/>
            <rFont val="Tahoma"/>
            <family val="2"/>
          </rPr>
          <t xml:space="preserve">
</t>
        </r>
      </text>
    </comment>
    <comment ref="N134" authorId="0" shapeId="0" xr:uid="{00000000-0006-0000-0900-000075000000}">
      <text>
        <r>
          <rPr>
            <b/>
            <sz val="8"/>
            <color indexed="81"/>
            <rFont val="Tahoma"/>
            <family val="2"/>
          </rPr>
          <t xml:space="preserve">Tarifliche Einkommensteuer in Euro
</t>
        </r>
        <r>
          <rPr>
            <sz val="8"/>
            <color indexed="81"/>
            <rFont val="Tahoma"/>
            <family val="2"/>
          </rPr>
          <t xml:space="preserve">
</t>
        </r>
      </text>
    </comment>
    <comment ref="N135" authorId="0" shapeId="0" xr:uid="{00000000-0006-0000-0900-000076000000}">
      <text>
        <r>
          <rPr>
            <b/>
            <sz val="8"/>
            <color indexed="81"/>
            <rFont val="Tahoma"/>
            <family val="2"/>
          </rPr>
          <t xml:space="preserve">Tarifliche Einkommensteuer in Euro
</t>
        </r>
        <r>
          <rPr>
            <sz val="8"/>
            <color indexed="81"/>
            <rFont val="Tahoma"/>
            <family val="2"/>
          </rPr>
          <t xml:space="preserve">
</t>
        </r>
      </text>
    </comment>
    <comment ref="N136" authorId="0" shapeId="0" xr:uid="{00000000-0006-0000-0900-000077000000}">
      <text>
        <r>
          <rPr>
            <b/>
            <sz val="8"/>
            <color indexed="81"/>
            <rFont val="Tahoma"/>
            <family val="2"/>
          </rPr>
          <t xml:space="preserve">Tarifliche Einkommensteuer in Euro
</t>
        </r>
        <r>
          <rPr>
            <sz val="8"/>
            <color indexed="81"/>
            <rFont val="Tahoma"/>
            <family val="2"/>
          </rPr>
          <t xml:space="preserve">
</t>
        </r>
      </text>
    </comment>
    <comment ref="N137" authorId="0" shapeId="0" xr:uid="{00000000-0006-0000-0900-000078000000}">
      <text>
        <r>
          <rPr>
            <b/>
            <sz val="8"/>
            <color indexed="81"/>
            <rFont val="Tahoma"/>
            <family val="2"/>
          </rPr>
          <t xml:space="preserve">Tarifliche Einkommensteuer in Euro
</t>
        </r>
        <r>
          <rPr>
            <sz val="8"/>
            <color indexed="81"/>
            <rFont val="Tahoma"/>
            <family val="2"/>
          </rPr>
          <t xml:space="preserve">
</t>
        </r>
      </text>
    </comment>
    <comment ref="N139" authorId="0" shapeId="0" xr:uid="{00000000-0006-0000-0900-000079000000}">
      <text>
        <r>
          <rPr>
            <b/>
            <sz val="8"/>
            <color indexed="81"/>
            <rFont val="Tahoma"/>
            <family val="2"/>
          </rPr>
          <t>Lohnsteuer für die Steuerklassen V und VI (§ 39b Absatz 2 Satz 7
EStG)</t>
        </r>
        <r>
          <rPr>
            <sz val="8"/>
            <color indexed="81"/>
            <rFont val="Tahoma"/>
            <family val="2"/>
          </rPr>
          <t xml:space="preserve">
</t>
        </r>
      </text>
    </comment>
    <comment ref="N140" authorId="0" shapeId="0" xr:uid="{00000000-0006-0000-0900-00007A000000}">
      <text>
        <r>
          <rPr>
            <b/>
            <sz val="8"/>
            <color indexed="81"/>
            <rFont val="Tahoma"/>
            <family val="2"/>
          </rPr>
          <t xml:space="preserve">Zwischenfeld zu X für die Berechnung der Steuer nach § 39b
Absatz 2 Satz 7 EStG in Euro
</t>
        </r>
      </text>
    </comment>
    <comment ref="N141" authorId="0" shapeId="0" xr:uid="{00000000-0006-0000-0900-00007B000000}">
      <text>
        <r>
          <rPr>
            <b/>
            <sz val="8"/>
            <color indexed="81"/>
            <rFont val="Tahoma"/>
            <family val="2"/>
          </rPr>
          <t>Zwischenfeld zu X für die Berechnung der Steuer nach § 39b
Absatz 2 Satz 7 EStG in Euro</t>
        </r>
      </text>
    </comment>
    <comment ref="N144" authorId="0" shapeId="0" xr:uid="{00000000-0006-0000-0900-00007C000000}">
      <text>
        <r>
          <rPr>
            <b/>
            <sz val="8"/>
            <color indexed="81"/>
            <rFont val="Tahoma"/>
            <family val="2"/>
          </rPr>
          <t>Zu versteuerndes Einkommen gem. § 32a Absatz 1 und
2 EStG in Euro, Cent (2 Dezimalstellen)</t>
        </r>
        <r>
          <rPr>
            <sz val="8"/>
            <color indexed="81"/>
            <rFont val="Tahoma"/>
            <family val="2"/>
          </rPr>
          <t xml:space="preserve">
</t>
        </r>
      </text>
    </comment>
    <comment ref="N146" authorId="0" shapeId="0" xr:uid="{00000000-0006-0000-0900-00007D000000}">
      <text>
        <r>
          <rPr>
            <b/>
            <sz val="8"/>
            <color indexed="81"/>
            <rFont val="Tahoma"/>
            <family val="2"/>
          </rPr>
          <t>Tarifliche Einkommensteuer (§ 32a EStG)</t>
        </r>
      </text>
    </comment>
    <comment ref="N147" authorId="0" shapeId="0" xr:uid="{00000000-0006-0000-0900-00007E000000}">
      <text>
        <r>
          <rPr>
            <b/>
            <sz val="8"/>
            <color indexed="81"/>
            <rFont val="Tahoma"/>
            <family val="2"/>
          </rPr>
          <t xml:space="preserve">Tarifliche Einkommensteuer in Euro
</t>
        </r>
        <r>
          <rPr>
            <sz val="8"/>
            <color indexed="81"/>
            <rFont val="Tahoma"/>
            <family val="2"/>
          </rPr>
          <t xml:space="preserve">
</t>
        </r>
      </text>
    </comment>
    <comment ref="N148" authorId="0" shapeId="0" xr:uid="{00000000-0006-0000-0900-00007F000000}">
      <text>
        <r>
          <rPr>
            <b/>
            <sz val="8"/>
            <color indexed="81"/>
            <rFont val="Tahoma"/>
            <family val="2"/>
          </rPr>
          <t>Gem. § 32 a Absatz 1 EStG (6 Dezimalstellen)</t>
        </r>
        <r>
          <rPr>
            <sz val="8"/>
            <color indexed="81"/>
            <rFont val="Tahoma"/>
            <family val="2"/>
          </rPr>
          <t xml:space="preserve">
</t>
        </r>
      </text>
    </comment>
    <comment ref="N149" authorId="0" shapeId="0" xr:uid="{00000000-0006-0000-0900-000080000000}">
      <text>
        <r>
          <rPr>
            <b/>
            <sz val="8"/>
            <color indexed="81"/>
            <rFont val="Tahoma"/>
            <family val="2"/>
          </rPr>
          <t>Rechenwert in Gleitkommadarstellung</t>
        </r>
        <r>
          <rPr>
            <sz val="8"/>
            <color indexed="81"/>
            <rFont val="Tahoma"/>
            <family val="2"/>
          </rPr>
          <t xml:space="preserve">
</t>
        </r>
      </text>
    </comment>
    <comment ref="N150" authorId="0" shapeId="0" xr:uid="{00000000-0006-0000-0900-000081000000}">
      <text>
        <r>
          <rPr>
            <b/>
            <sz val="8"/>
            <color indexed="81"/>
            <rFont val="Tahoma"/>
            <family val="2"/>
          </rPr>
          <t>Rechenwert in Gleitkommadarstellung</t>
        </r>
        <r>
          <rPr>
            <sz val="8"/>
            <color indexed="81"/>
            <rFont val="Tahoma"/>
            <family val="2"/>
          </rPr>
          <t xml:space="preserve">
</t>
        </r>
      </text>
    </comment>
    <comment ref="N151" authorId="0" shapeId="0" xr:uid="{00000000-0006-0000-0900-000082000000}">
      <text>
        <r>
          <rPr>
            <b/>
            <sz val="8"/>
            <color indexed="81"/>
            <rFont val="Tahoma"/>
            <family val="2"/>
          </rPr>
          <t xml:space="preserve">Tarifliche Einkommensteuer in Euro
</t>
        </r>
        <r>
          <rPr>
            <sz val="8"/>
            <color indexed="81"/>
            <rFont val="Tahoma"/>
            <family val="2"/>
          </rPr>
          <t xml:space="preserve">
</t>
        </r>
      </text>
    </comment>
    <comment ref="N152" authorId="0" shapeId="0" xr:uid="{00000000-0006-0000-0900-000083000000}">
      <text>
        <r>
          <rPr>
            <b/>
            <sz val="8"/>
            <color indexed="81"/>
            <rFont val="Tahoma"/>
            <family val="2"/>
          </rPr>
          <t>Gem. § 32 a Absatz 1 EStG (6 Dezimalstellen)</t>
        </r>
        <r>
          <rPr>
            <sz val="8"/>
            <color indexed="81"/>
            <rFont val="Tahoma"/>
            <family val="2"/>
          </rPr>
          <t xml:space="preserve">
</t>
        </r>
      </text>
    </comment>
    <comment ref="N153" authorId="0" shapeId="0" xr:uid="{00000000-0006-0000-0900-000084000000}">
      <text>
        <r>
          <rPr>
            <b/>
            <sz val="8"/>
            <color indexed="81"/>
            <rFont val="Tahoma"/>
            <family val="2"/>
          </rPr>
          <t>Rechenwert in Gleitkommadarstellung</t>
        </r>
        <r>
          <rPr>
            <sz val="8"/>
            <color indexed="81"/>
            <rFont val="Tahoma"/>
            <family val="2"/>
          </rPr>
          <t xml:space="preserve">
</t>
        </r>
      </text>
    </comment>
    <comment ref="N154" authorId="0" shapeId="0" xr:uid="{00000000-0006-0000-0900-000085000000}">
      <text>
        <r>
          <rPr>
            <b/>
            <sz val="8"/>
            <color indexed="81"/>
            <rFont val="Tahoma"/>
            <family val="2"/>
          </rPr>
          <t>Rechenwert in Gleitkommadarstellung</t>
        </r>
        <r>
          <rPr>
            <sz val="8"/>
            <color indexed="81"/>
            <rFont val="Tahoma"/>
            <family val="2"/>
          </rPr>
          <t xml:space="preserve">
</t>
        </r>
      </text>
    </comment>
    <comment ref="N155" authorId="0" shapeId="0" xr:uid="{00000000-0006-0000-0900-000086000000}">
      <text>
        <r>
          <rPr>
            <b/>
            <sz val="8"/>
            <color indexed="81"/>
            <rFont val="Tahoma"/>
            <family val="2"/>
          </rPr>
          <t>Rechenwert in Gleitkommadarstellung</t>
        </r>
        <r>
          <rPr>
            <sz val="8"/>
            <color indexed="81"/>
            <rFont val="Tahoma"/>
            <family val="2"/>
          </rPr>
          <t xml:space="preserve">
</t>
        </r>
      </text>
    </comment>
    <comment ref="N156" authorId="0" shapeId="0" xr:uid="{00000000-0006-0000-0900-000087000000}">
      <text>
        <r>
          <rPr>
            <b/>
            <sz val="8"/>
            <color indexed="81"/>
            <rFont val="Tahoma"/>
            <family val="2"/>
          </rPr>
          <t xml:space="preserve">Tarifliche Einkommensteuer in Euro
</t>
        </r>
        <r>
          <rPr>
            <sz val="8"/>
            <color indexed="81"/>
            <rFont val="Tahoma"/>
            <family val="2"/>
          </rPr>
          <t xml:space="preserve">
</t>
        </r>
      </text>
    </comment>
    <comment ref="N157" authorId="0" shapeId="0" xr:uid="{00000000-0006-0000-0900-000088000000}">
      <text>
        <r>
          <rPr>
            <b/>
            <sz val="8"/>
            <color indexed="81"/>
            <rFont val="Tahoma"/>
            <family val="2"/>
          </rPr>
          <t xml:space="preserve">Tarifliche Einkommensteuer in Euro
</t>
        </r>
        <r>
          <rPr>
            <sz val="8"/>
            <color indexed="81"/>
            <rFont val="Tahoma"/>
            <family val="2"/>
          </rPr>
          <t xml:space="preserve">
</t>
        </r>
      </text>
    </comment>
    <comment ref="N158" authorId="0" shapeId="0" xr:uid="{00000000-0006-0000-0900-000089000000}">
      <text>
        <r>
          <rPr>
            <b/>
            <sz val="8"/>
            <color indexed="81"/>
            <rFont val="Tahoma"/>
            <family val="2"/>
          </rPr>
          <t xml:space="preserve">Tarifliche Einkommensteuer in Euro
</t>
        </r>
        <r>
          <rPr>
            <sz val="8"/>
            <color indexed="81"/>
            <rFont val="Tahoma"/>
            <family val="2"/>
          </rPr>
          <t xml:space="preserve">
</t>
        </r>
      </text>
    </comment>
    <comment ref="N159" authorId="0" shapeId="0" xr:uid="{00000000-0006-0000-0900-00008A000000}">
      <text>
        <r>
          <rPr>
            <b/>
            <sz val="8"/>
            <color indexed="81"/>
            <rFont val="Tahoma"/>
            <family val="2"/>
          </rPr>
          <t xml:space="preserve">Tarifliche Einkommensteuer in Euro
</t>
        </r>
        <r>
          <rPr>
            <sz val="8"/>
            <color indexed="81"/>
            <rFont val="Tahoma"/>
            <family val="2"/>
          </rPr>
          <t xml:space="preserve">
</t>
        </r>
      </text>
    </comment>
    <comment ref="N160" authorId="0" shapeId="0" xr:uid="{00000000-0006-0000-0900-00008B000000}">
      <text>
        <r>
          <rPr>
            <b/>
            <sz val="8"/>
            <color indexed="81"/>
            <rFont val="Tahoma"/>
            <family val="2"/>
          </rPr>
          <t>Tarifliche Einkommensteuer auf das 1,25-fache ZX in Euro</t>
        </r>
        <r>
          <rPr>
            <sz val="8"/>
            <color indexed="81"/>
            <rFont val="Tahoma"/>
            <family val="2"/>
          </rPr>
          <t xml:space="preserve">
</t>
        </r>
      </text>
    </comment>
    <comment ref="N161" authorId="0" shapeId="0" xr:uid="{00000000-0006-0000-0900-00008C000000}">
      <text>
        <r>
          <rPr>
            <b/>
            <sz val="8"/>
            <color indexed="81"/>
            <rFont val="Tahoma"/>
            <family val="2"/>
          </rPr>
          <t>Zu versteuerndes Einkommen gem. § 32a Absatz 1 und
2 EStG in Euro, Cent (2 Dezimalstellen)</t>
        </r>
        <r>
          <rPr>
            <sz val="8"/>
            <color indexed="81"/>
            <rFont val="Tahoma"/>
            <family val="2"/>
          </rPr>
          <t xml:space="preserve">
</t>
        </r>
      </text>
    </comment>
    <comment ref="N163" authorId="0" shapeId="0" xr:uid="{00000000-0006-0000-0900-00008D000000}">
      <text>
        <r>
          <rPr>
            <b/>
            <sz val="8"/>
            <color indexed="81"/>
            <rFont val="Tahoma"/>
            <family val="2"/>
          </rPr>
          <t>Tarifliche Einkommensteuer (§ 32a EStG)</t>
        </r>
      </text>
    </comment>
    <comment ref="N164" authorId="0" shapeId="0" xr:uid="{00000000-0006-0000-0900-00008E000000}">
      <text>
        <r>
          <rPr>
            <b/>
            <sz val="8"/>
            <color indexed="81"/>
            <rFont val="Tahoma"/>
            <family val="2"/>
          </rPr>
          <t xml:space="preserve">Tarifliche Einkommensteuer in Euro
</t>
        </r>
        <r>
          <rPr>
            <sz val="8"/>
            <color indexed="81"/>
            <rFont val="Tahoma"/>
            <family val="2"/>
          </rPr>
          <t xml:space="preserve">
</t>
        </r>
      </text>
    </comment>
    <comment ref="N165" authorId="0" shapeId="0" xr:uid="{00000000-0006-0000-0900-00008F000000}">
      <text>
        <r>
          <rPr>
            <b/>
            <sz val="8"/>
            <color indexed="81"/>
            <rFont val="Tahoma"/>
            <family val="2"/>
          </rPr>
          <t>Gem. § 32 a Absatz 1 EStG (6 Dezimalstellen)</t>
        </r>
        <r>
          <rPr>
            <sz val="8"/>
            <color indexed="81"/>
            <rFont val="Tahoma"/>
            <family val="2"/>
          </rPr>
          <t xml:space="preserve">
</t>
        </r>
      </text>
    </comment>
    <comment ref="N166" authorId="0" shapeId="0" xr:uid="{00000000-0006-0000-0900-000090000000}">
      <text>
        <r>
          <rPr>
            <b/>
            <sz val="8"/>
            <color indexed="81"/>
            <rFont val="Tahoma"/>
            <family val="2"/>
          </rPr>
          <t>Rechenwert in Gleitkommadarstellung</t>
        </r>
        <r>
          <rPr>
            <sz val="8"/>
            <color indexed="81"/>
            <rFont val="Tahoma"/>
            <family val="2"/>
          </rPr>
          <t xml:space="preserve">
</t>
        </r>
      </text>
    </comment>
    <comment ref="N167" authorId="0" shapeId="0" xr:uid="{00000000-0006-0000-0900-000091000000}">
      <text>
        <r>
          <rPr>
            <b/>
            <sz val="8"/>
            <color indexed="81"/>
            <rFont val="Tahoma"/>
            <family val="2"/>
          </rPr>
          <t>Rechenwert in Gleitkommadarstellung</t>
        </r>
        <r>
          <rPr>
            <sz val="8"/>
            <color indexed="81"/>
            <rFont val="Tahoma"/>
            <family val="2"/>
          </rPr>
          <t xml:space="preserve">
</t>
        </r>
      </text>
    </comment>
    <comment ref="N168" authorId="0" shapeId="0" xr:uid="{00000000-0006-0000-0900-000092000000}">
      <text>
        <r>
          <rPr>
            <b/>
            <sz val="8"/>
            <color indexed="81"/>
            <rFont val="Tahoma"/>
            <family val="2"/>
          </rPr>
          <t xml:space="preserve">Tarifliche Einkommensteuer in Euro
</t>
        </r>
        <r>
          <rPr>
            <sz val="8"/>
            <color indexed="81"/>
            <rFont val="Tahoma"/>
            <family val="2"/>
          </rPr>
          <t xml:space="preserve">
</t>
        </r>
      </text>
    </comment>
    <comment ref="N169" authorId="0" shapeId="0" xr:uid="{00000000-0006-0000-0900-000093000000}">
      <text>
        <r>
          <rPr>
            <b/>
            <sz val="8"/>
            <color indexed="81"/>
            <rFont val="Tahoma"/>
            <family val="2"/>
          </rPr>
          <t>Gem. § 32 a Absatz 1 EStG (6 Dezimalstellen)</t>
        </r>
        <r>
          <rPr>
            <sz val="8"/>
            <color indexed="81"/>
            <rFont val="Tahoma"/>
            <family val="2"/>
          </rPr>
          <t xml:space="preserve">
</t>
        </r>
      </text>
    </comment>
    <comment ref="N170" authorId="0" shapeId="0" xr:uid="{00000000-0006-0000-0900-000094000000}">
      <text>
        <r>
          <rPr>
            <b/>
            <sz val="8"/>
            <color indexed="81"/>
            <rFont val="Tahoma"/>
            <family val="2"/>
          </rPr>
          <t>Rechenwert in Gleitkommadarstellung</t>
        </r>
        <r>
          <rPr>
            <sz val="8"/>
            <color indexed="81"/>
            <rFont val="Tahoma"/>
            <family val="2"/>
          </rPr>
          <t xml:space="preserve">
</t>
        </r>
      </text>
    </comment>
    <comment ref="N171" authorId="0" shapeId="0" xr:uid="{00000000-0006-0000-0900-000095000000}">
      <text>
        <r>
          <rPr>
            <b/>
            <sz val="8"/>
            <color indexed="81"/>
            <rFont val="Tahoma"/>
            <family val="2"/>
          </rPr>
          <t>Rechenwert in Gleitkommadarstellung</t>
        </r>
        <r>
          <rPr>
            <sz val="8"/>
            <color indexed="81"/>
            <rFont val="Tahoma"/>
            <family val="2"/>
          </rPr>
          <t xml:space="preserve">
</t>
        </r>
      </text>
    </comment>
    <comment ref="N172" authorId="0" shapeId="0" xr:uid="{00000000-0006-0000-0900-000096000000}">
      <text>
        <r>
          <rPr>
            <b/>
            <sz val="8"/>
            <color indexed="81"/>
            <rFont val="Tahoma"/>
            <family val="2"/>
          </rPr>
          <t>Rechenwert in Gleitkommadarstellung</t>
        </r>
        <r>
          <rPr>
            <sz val="8"/>
            <color indexed="81"/>
            <rFont val="Tahoma"/>
            <family val="2"/>
          </rPr>
          <t xml:space="preserve">
</t>
        </r>
      </text>
    </comment>
    <comment ref="N173" authorId="0" shapeId="0" xr:uid="{00000000-0006-0000-0900-000097000000}">
      <text>
        <r>
          <rPr>
            <b/>
            <sz val="8"/>
            <color indexed="81"/>
            <rFont val="Tahoma"/>
            <family val="2"/>
          </rPr>
          <t xml:space="preserve">Tarifliche Einkommensteuer in Euro
</t>
        </r>
        <r>
          <rPr>
            <sz val="8"/>
            <color indexed="81"/>
            <rFont val="Tahoma"/>
            <family val="2"/>
          </rPr>
          <t xml:space="preserve">
</t>
        </r>
      </text>
    </comment>
    <comment ref="N174" authorId="0" shapeId="0" xr:uid="{00000000-0006-0000-0900-000098000000}">
      <text>
        <r>
          <rPr>
            <b/>
            <sz val="8"/>
            <color indexed="81"/>
            <rFont val="Tahoma"/>
            <family val="2"/>
          </rPr>
          <t xml:space="preserve">Tarifliche Einkommensteuer in Euro
</t>
        </r>
        <r>
          <rPr>
            <sz val="8"/>
            <color indexed="81"/>
            <rFont val="Tahoma"/>
            <family val="2"/>
          </rPr>
          <t xml:space="preserve">
</t>
        </r>
      </text>
    </comment>
    <comment ref="N175" authorId="0" shapeId="0" xr:uid="{00000000-0006-0000-0900-000099000000}">
      <text>
        <r>
          <rPr>
            <b/>
            <sz val="8"/>
            <color indexed="81"/>
            <rFont val="Tahoma"/>
            <family val="2"/>
          </rPr>
          <t xml:space="preserve">Tarifliche Einkommensteuer in Euro
</t>
        </r>
        <r>
          <rPr>
            <sz val="8"/>
            <color indexed="81"/>
            <rFont val="Tahoma"/>
            <family val="2"/>
          </rPr>
          <t xml:space="preserve">
</t>
        </r>
      </text>
    </comment>
    <comment ref="N176" authorId="0" shapeId="0" xr:uid="{00000000-0006-0000-0900-00009A000000}">
      <text>
        <r>
          <rPr>
            <b/>
            <sz val="8"/>
            <color indexed="81"/>
            <rFont val="Tahoma"/>
            <family val="2"/>
          </rPr>
          <t xml:space="preserve">Tarifliche Einkommensteuer in Euro
</t>
        </r>
        <r>
          <rPr>
            <sz val="8"/>
            <color indexed="81"/>
            <rFont val="Tahoma"/>
            <family val="2"/>
          </rPr>
          <t xml:space="preserve">
</t>
        </r>
      </text>
    </comment>
    <comment ref="N177" authorId="0" shapeId="0" xr:uid="{00000000-0006-0000-0900-00009B000000}">
      <text>
        <r>
          <rPr>
            <b/>
            <sz val="8"/>
            <color indexed="81"/>
            <rFont val="Tahoma"/>
            <family val="2"/>
          </rPr>
          <t xml:space="preserve">Tarifliche Einkommensteuer auf das 0,75-fache ZX in Euro
</t>
        </r>
      </text>
    </comment>
    <comment ref="N178" authorId="0" shapeId="0" xr:uid="{00000000-0006-0000-0900-00009C000000}">
      <text>
        <r>
          <rPr>
            <b/>
            <sz val="8"/>
            <color indexed="81"/>
            <rFont val="Tahoma"/>
            <family val="2"/>
          </rPr>
          <t>Differenz zwischen ST1 und ST2 in Euro</t>
        </r>
      </text>
    </comment>
    <comment ref="N179" authorId="0" shapeId="0" xr:uid="{00000000-0006-0000-0900-00009D000000}">
      <text>
        <r>
          <rPr>
            <b/>
            <sz val="8"/>
            <color indexed="81"/>
            <rFont val="Tahoma"/>
            <family val="2"/>
          </rPr>
          <t>Mindeststeuer für die Steuerklassen V und VI in Euro</t>
        </r>
      </text>
    </comment>
    <comment ref="N180" authorId="0" shapeId="0" xr:uid="{00000000-0006-0000-0900-00009E000000}">
      <text>
        <r>
          <rPr>
            <b/>
            <sz val="8"/>
            <color indexed="81"/>
            <rFont val="Tahoma"/>
            <family val="2"/>
          </rPr>
          <t xml:space="preserve">Tarifliche Einkommensteuer in Euro
</t>
        </r>
        <r>
          <rPr>
            <sz val="8"/>
            <color indexed="81"/>
            <rFont val="Tahoma"/>
            <family val="2"/>
          </rPr>
          <t xml:space="preserve">
</t>
        </r>
      </text>
    </comment>
    <comment ref="N181" authorId="0" shapeId="0" xr:uid="{00000000-0006-0000-0900-00009F000000}">
      <text>
        <r>
          <rPr>
            <b/>
            <sz val="8"/>
            <color indexed="81"/>
            <rFont val="Tahoma"/>
            <family val="2"/>
          </rPr>
          <t>Zwischenfeld zu X für die Berechnung der Steuer nach § 39b
Absatz 2 Satz 7 EStG in Euro</t>
        </r>
      </text>
    </comment>
    <comment ref="N182" authorId="0" shapeId="0" xr:uid="{00000000-0006-0000-0900-0000A0000000}">
      <text>
        <r>
          <rPr>
            <b/>
            <sz val="8"/>
            <color indexed="81"/>
            <rFont val="Tahoma"/>
            <family val="2"/>
          </rPr>
          <t>Zwischenfeld zu X für die Berechnung der Steuer nach § 39b
Absatz 2 Satz 7 EStG in Euro</t>
        </r>
      </text>
    </comment>
    <comment ref="N185" authorId="0" shapeId="0" xr:uid="{00000000-0006-0000-0900-0000A1000000}">
      <text>
        <r>
          <rPr>
            <b/>
            <sz val="8"/>
            <color indexed="81"/>
            <rFont val="Tahoma"/>
            <family val="2"/>
          </rPr>
          <t>Zu versteuerndes Einkommen gem. § 32a Absatz 1 und
2 EStG in Euro, Cent (2 Dezimalstellen)</t>
        </r>
        <r>
          <rPr>
            <sz val="8"/>
            <color indexed="81"/>
            <rFont val="Tahoma"/>
            <family val="2"/>
          </rPr>
          <t xml:space="preserve">
</t>
        </r>
      </text>
    </comment>
    <comment ref="N187" authorId="0" shapeId="0" xr:uid="{00000000-0006-0000-0900-0000A2000000}">
      <text>
        <r>
          <rPr>
            <b/>
            <sz val="8"/>
            <color indexed="81"/>
            <rFont val="Tahoma"/>
            <family val="2"/>
          </rPr>
          <t>Tarifliche Einkommensteuer (§ 32a EStG)</t>
        </r>
      </text>
    </comment>
    <comment ref="N188" authorId="0" shapeId="0" xr:uid="{00000000-0006-0000-0900-0000A3000000}">
      <text>
        <r>
          <rPr>
            <b/>
            <sz val="8"/>
            <color indexed="81"/>
            <rFont val="Tahoma"/>
            <family val="2"/>
          </rPr>
          <t xml:space="preserve">Tarifliche Einkommensteuer in Euro
</t>
        </r>
        <r>
          <rPr>
            <sz val="8"/>
            <color indexed="81"/>
            <rFont val="Tahoma"/>
            <family val="2"/>
          </rPr>
          <t xml:space="preserve">
</t>
        </r>
      </text>
    </comment>
    <comment ref="N189" authorId="0" shapeId="0" xr:uid="{00000000-0006-0000-0900-0000A4000000}">
      <text>
        <r>
          <rPr>
            <b/>
            <sz val="8"/>
            <color indexed="81"/>
            <rFont val="Tahoma"/>
            <family val="2"/>
          </rPr>
          <t>Gem. § 32 a Absatz 1 EStG (6 Dezimalstellen)</t>
        </r>
        <r>
          <rPr>
            <sz val="8"/>
            <color indexed="81"/>
            <rFont val="Tahoma"/>
            <family val="2"/>
          </rPr>
          <t xml:space="preserve">
</t>
        </r>
      </text>
    </comment>
    <comment ref="N190" authorId="0" shapeId="0" xr:uid="{00000000-0006-0000-0900-0000A5000000}">
      <text>
        <r>
          <rPr>
            <b/>
            <sz val="8"/>
            <color indexed="81"/>
            <rFont val="Tahoma"/>
            <family val="2"/>
          </rPr>
          <t>Rechenwert in Gleitkommadarstellung</t>
        </r>
        <r>
          <rPr>
            <sz val="8"/>
            <color indexed="81"/>
            <rFont val="Tahoma"/>
            <family val="2"/>
          </rPr>
          <t xml:space="preserve">
</t>
        </r>
      </text>
    </comment>
    <comment ref="N191" authorId="0" shapeId="0" xr:uid="{00000000-0006-0000-0900-0000A6000000}">
      <text>
        <r>
          <rPr>
            <b/>
            <sz val="8"/>
            <color indexed="81"/>
            <rFont val="Tahoma"/>
            <family val="2"/>
          </rPr>
          <t>Rechenwert in Gleitkommadarstellung</t>
        </r>
        <r>
          <rPr>
            <sz val="8"/>
            <color indexed="81"/>
            <rFont val="Tahoma"/>
            <family val="2"/>
          </rPr>
          <t xml:space="preserve">
</t>
        </r>
      </text>
    </comment>
    <comment ref="N192" authorId="0" shapeId="0" xr:uid="{00000000-0006-0000-0900-0000A7000000}">
      <text>
        <r>
          <rPr>
            <b/>
            <sz val="8"/>
            <color indexed="81"/>
            <rFont val="Tahoma"/>
            <family val="2"/>
          </rPr>
          <t xml:space="preserve">Tarifliche Einkommensteuer in Euro
</t>
        </r>
        <r>
          <rPr>
            <sz val="8"/>
            <color indexed="81"/>
            <rFont val="Tahoma"/>
            <family val="2"/>
          </rPr>
          <t xml:space="preserve">
</t>
        </r>
      </text>
    </comment>
    <comment ref="N193" authorId="0" shapeId="0" xr:uid="{00000000-0006-0000-0900-0000A8000000}">
      <text>
        <r>
          <rPr>
            <b/>
            <sz val="8"/>
            <color indexed="81"/>
            <rFont val="Tahoma"/>
            <family val="2"/>
          </rPr>
          <t>Gem. § 32 a Absatz 1 EStG (6 Dezimalstellen)</t>
        </r>
        <r>
          <rPr>
            <sz val="8"/>
            <color indexed="81"/>
            <rFont val="Tahoma"/>
            <family val="2"/>
          </rPr>
          <t xml:space="preserve">
</t>
        </r>
      </text>
    </comment>
    <comment ref="N194" authorId="0" shapeId="0" xr:uid="{00000000-0006-0000-0900-0000A9000000}">
      <text>
        <r>
          <rPr>
            <b/>
            <sz val="8"/>
            <color indexed="81"/>
            <rFont val="Tahoma"/>
            <family val="2"/>
          </rPr>
          <t>Rechenwert in Gleitkommadarstellung</t>
        </r>
        <r>
          <rPr>
            <sz val="8"/>
            <color indexed="81"/>
            <rFont val="Tahoma"/>
            <family val="2"/>
          </rPr>
          <t xml:space="preserve">
</t>
        </r>
      </text>
    </comment>
    <comment ref="N195" authorId="0" shapeId="0" xr:uid="{00000000-0006-0000-0900-0000AA000000}">
      <text>
        <r>
          <rPr>
            <b/>
            <sz val="8"/>
            <color indexed="81"/>
            <rFont val="Tahoma"/>
            <family val="2"/>
          </rPr>
          <t>Rechenwert in Gleitkommadarstellung</t>
        </r>
        <r>
          <rPr>
            <sz val="8"/>
            <color indexed="81"/>
            <rFont val="Tahoma"/>
            <family val="2"/>
          </rPr>
          <t xml:space="preserve">
</t>
        </r>
      </text>
    </comment>
    <comment ref="N196" authorId="0" shapeId="0" xr:uid="{00000000-0006-0000-0900-0000AB000000}">
      <text>
        <r>
          <rPr>
            <b/>
            <sz val="8"/>
            <color indexed="81"/>
            <rFont val="Tahoma"/>
            <family val="2"/>
          </rPr>
          <t>Rechenwert in Gleitkommadarstellung</t>
        </r>
        <r>
          <rPr>
            <sz val="8"/>
            <color indexed="81"/>
            <rFont val="Tahoma"/>
            <family val="2"/>
          </rPr>
          <t xml:space="preserve">
</t>
        </r>
      </text>
    </comment>
    <comment ref="N197" authorId="0" shapeId="0" xr:uid="{00000000-0006-0000-0900-0000AC000000}">
      <text>
        <r>
          <rPr>
            <b/>
            <sz val="8"/>
            <color indexed="81"/>
            <rFont val="Tahoma"/>
            <family val="2"/>
          </rPr>
          <t xml:space="preserve">Tarifliche Einkommensteuer in Euro
</t>
        </r>
        <r>
          <rPr>
            <sz val="8"/>
            <color indexed="81"/>
            <rFont val="Tahoma"/>
            <family val="2"/>
          </rPr>
          <t xml:space="preserve">
</t>
        </r>
      </text>
    </comment>
    <comment ref="N198" authorId="0" shapeId="0" xr:uid="{00000000-0006-0000-0900-0000AD000000}">
      <text>
        <r>
          <rPr>
            <b/>
            <sz val="8"/>
            <color indexed="81"/>
            <rFont val="Tahoma"/>
            <family val="2"/>
          </rPr>
          <t xml:space="preserve">Tarifliche Einkommensteuer in Euro
</t>
        </r>
        <r>
          <rPr>
            <sz val="8"/>
            <color indexed="81"/>
            <rFont val="Tahoma"/>
            <family val="2"/>
          </rPr>
          <t xml:space="preserve">
</t>
        </r>
      </text>
    </comment>
    <comment ref="N199" authorId="0" shapeId="0" xr:uid="{00000000-0006-0000-0900-0000AE000000}">
      <text>
        <r>
          <rPr>
            <b/>
            <sz val="8"/>
            <color indexed="81"/>
            <rFont val="Tahoma"/>
            <family val="2"/>
          </rPr>
          <t xml:space="preserve">Tarifliche Einkommensteuer in Euro
</t>
        </r>
        <r>
          <rPr>
            <sz val="8"/>
            <color indexed="81"/>
            <rFont val="Tahoma"/>
            <family val="2"/>
          </rPr>
          <t xml:space="preserve">
</t>
        </r>
      </text>
    </comment>
    <comment ref="N200" authorId="0" shapeId="0" xr:uid="{00000000-0006-0000-0900-0000AF000000}">
      <text>
        <r>
          <rPr>
            <b/>
            <sz val="8"/>
            <color indexed="81"/>
            <rFont val="Tahoma"/>
            <family val="2"/>
          </rPr>
          <t xml:space="preserve">Tarifliche Einkommensteuer in Euro
</t>
        </r>
        <r>
          <rPr>
            <sz val="8"/>
            <color indexed="81"/>
            <rFont val="Tahoma"/>
            <family val="2"/>
          </rPr>
          <t xml:space="preserve">
</t>
        </r>
      </text>
    </comment>
    <comment ref="N201" authorId="0" shapeId="0" xr:uid="{00000000-0006-0000-0900-0000B0000000}">
      <text>
        <r>
          <rPr>
            <b/>
            <sz val="8"/>
            <color indexed="81"/>
            <rFont val="Tahoma"/>
            <family val="2"/>
          </rPr>
          <t>Tarifliche Einkommensteuer auf das 1,25-fache ZX in Euro</t>
        </r>
        <r>
          <rPr>
            <sz val="8"/>
            <color indexed="81"/>
            <rFont val="Tahoma"/>
            <family val="2"/>
          </rPr>
          <t xml:space="preserve">
</t>
        </r>
      </text>
    </comment>
    <comment ref="N202" authorId="0" shapeId="0" xr:uid="{00000000-0006-0000-0900-0000B1000000}">
      <text>
        <r>
          <rPr>
            <b/>
            <sz val="8"/>
            <color indexed="81"/>
            <rFont val="Tahoma"/>
            <family val="2"/>
          </rPr>
          <t>Zu versteuerndes Einkommen gem. § 32a Absatz 1 und
2 EStG in Euro, Cent (2 Dezimalstellen)</t>
        </r>
        <r>
          <rPr>
            <sz val="8"/>
            <color indexed="81"/>
            <rFont val="Tahoma"/>
            <family val="2"/>
          </rPr>
          <t xml:space="preserve">
</t>
        </r>
      </text>
    </comment>
    <comment ref="N204" authorId="0" shapeId="0" xr:uid="{00000000-0006-0000-0900-0000B2000000}">
      <text>
        <r>
          <rPr>
            <b/>
            <sz val="8"/>
            <color indexed="81"/>
            <rFont val="Tahoma"/>
            <family val="2"/>
          </rPr>
          <t>Tarifliche Einkommensteuer (§ 32a EStG)</t>
        </r>
      </text>
    </comment>
    <comment ref="N205" authorId="0" shapeId="0" xr:uid="{00000000-0006-0000-0900-0000B3000000}">
      <text>
        <r>
          <rPr>
            <b/>
            <sz val="8"/>
            <color indexed="81"/>
            <rFont val="Tahoma"/>
            <family val="2"/>
          </rPr>
          <t xml:space="preserve">Tarifliche Einkommensteuer in Euro
</t>
        </r>
        <r>
          <rPr>
            <sz val="8"/>
            <color indexed="81"/>
            <rFont val="Tahoma"/>
            <family val="2"/>
          </rPr>
          <t xml:space="preserve">
</t>
        </r>
      </text>
    </comment>
    <comment ref="N206" authorId="0" shapeId="0" xr:uid="{00000000-0006-0000-0900-0000B4000000}">
      <text>
        <r>
          <rPr>
            <b/>
            <sz val="8"/>
            <color indexed="81"/>
            <rFont val="Tahoma"/>
            <family val="2"/>
          </rPr>
          <t>Gem. § 32 a Absatz 1 EStG (6 Dezimalstellen)</t>
        </r>
        <r>
          <rPr>
            <sz val="8"/>
            <color indexed="81"/>
            <rFont val="Tahoma"/>
            <family val="2"/>
          </rPr>
          <t xml:space="preserve">
</t>
        </r>
      </text>
    </comment>
    <comment ref="N207" authorId="0" shapeId="0" xr:uid="{00000000-0006-0000-0900-0000B5000000}">
      <text>
        <r>
          <rPr>
            <b/>
            <sz val="8"/>
            <color indexed="81"/>
            <rFont val="Tahoma"/>
            <family val="2"/>
          </rPr>
          <t>Rechenwert in Gleitkommadarstellung</t>
        </r>
        <r>
          <rPr>
            <sz val="8"/>
            <color indexed="81"/>
            <rFont val="Tahoma"/>
            <family val="2"/>
          </rPr>
          <t xml:space="preserve">
</t>
        </r>
      </text>
    </comment>
    <comment ref="N208" authorId="0" shapeId="0" xr:uid="{00000000-0006-0000-0900-0000B6000000}">
      <text>
        <r>
          <rPr>
            <b/>
            <sz val="8"/>
            <color indexed="81"/>
            <rFont val="Tahoma"/>
            <family val="2"/>
          </rPr>
          <t>Rechenwert in Gleitkommadarstellung</t>
        </r>
        <r>
          <rPr>
            <sz val="8"/>
            <color indexed="81"/>
            <rFont val="Tahoma"/>
            <family val="2"/>
          </rPr>
          <t xml:space="preserve">
</t>
        </r>
      </text>
    </comment>
    <comment ref="N209" authorId="0" shapeId="0" xr:uid="{00000000-0006-0000-0900-0000B7000000}">
      <text>
        <r>
          <rPr>
            <b/>
            <sz val="8"/>
            <color indexed="81"/>
            <rFont val="Tahoma"/>
            <family val="2"/>
          </rPr>
          <t xml:space="preserve">Tarifliche Einkommensteuer in Euro
</t>
        </r>
        <r>
          <rPr>
            <sz val="8"/>
            <color indexed="81"/>
            <rFont val="Tahoma"/>
            <family val="2"/>
          </rPr>
          <t xml:space="preserve">
</t>
        </r>
      </text>
    </comment>
    <comment ref="N210" authorId="0" shapeId="0" xr:uid="{00000000-0006-0000-0900-0000B8000000}">
      <text>
        <r>
          <rPr>
            <b/>
            <sz val="8"/>
            <color indexed="81"/>
            <rFont val="Tahoma"/>
            <family val="2"/>
          </rPr>
          <t>Gem. § 32 a Absatz 1 EStG (6 Dezimalstellen)</t>
        </r>
        <r>
          <rPr>
            <sz val="8"/>
            <color indexed="81"/>
            <rFont val="Tahoma"/>
            <family val="2"/>
          </rPr>
          <t xml:space="preserve">
</t>
        </r>
      </text>
    </comment>
    <comment ref="N211" authorId="0" shapeId="0" xr:uid="{00000000-0006-0000-0900-0000B9000000}">
      <text>
        <r>
          <rPr>
            <b/>
            <sz val="8"/>
            <color indexed="81"/>
            <rFont val="Tahoma"/>
            <family val="2"/>
          </rPr>
          <t>Rechenwert in Gleitkommadarstellung</t>
        </r>
        <r>
          <rPr>
            <sz val="8"/>
            <color indexed="81"/>
            <rFont val="Tahoma"/>
            <family val="2"/>
          </rPr>
          <t xml:space="preserve">
</t>
        </r>
      </text>
    </comment>
    <comment ref="N212" authorId="0" shapeId="0" xr:uid="{00000000-0006-0000-0900-0000BA000000}">
      <text>
        <r>
          <rPr>
            <b/>
            <sz val="8"/>
            <color indexed="81"/>
            <rFont val="Tahoma"/>
            <family val="2"/>
          </rPr>
          <t>Rechenwert in Gleitkommadarstellung</t>
        </r>
        <r>
          <rPr>
            <sz val="8"/>
            <color indexed="81"/>
            <rFont val="Tahoma"/>
            <family val="2"/>
          </rPr>
          <t xml:space="preserve">
</t>
        </r>
      </text>
    </comment>
    <comment ref="N213" authorId="0" shapeId="0" xr:uid="{00000000-0006-0000-0900-0000BB000000}">
      <text>
        <r>
          <rPr>
            <b/>
            <sz val="8"/>
            <color indexed="81"/>
            <rFont val="Tahoma"/>
            <family val="2"/>
          </rPr>
          <t>Rechenwert in Gleitkommadarstellung</t>
        </r>
        <r>
          <rPr>
            <sz val="8"/>
            <color indexed="81"/>
            <rFont val="Tahoma"/>
            <family val="2"/>
          </rPr>
          <t xml:space="preserve">
</t>
        </r>
      </text>
    </comment>
    <comment ref="N214" authorId="0" shapeId="0" xr:uid="{00000000-0006-0000-0900-0000BC000000}">
      <text>
        <r>
          <rPr>
            <b/>
            <sz val="8"/>
            <color indexed="81"/>
            <rFont val="Tahoma"/>
            <family val="2"/>
          </rPr>
          <t xml:space="preserve">Tarifliche Einkommensteuer in Euro
</t>
        </r>
        <r>
          <rPr>
            <sz val="8"/>
            <color indexed="81"/>
            <rFont val="Tahoma"/>
            <family val="2"/>
          </rPr>
          <t xml:space="preserve">
</t>
        </r>
      </text>
    </comment>
    <comment ref="N215" authorId="0" shapeId="0" xr:uid="{00000000-0006-0000-0900-0000BD000000}">
      <text>
        <r>
          <rPr>
            <b/>
            <sz val="8"/>
            <color indexed="81"/>
            <rFont val="Tahoma"/>
            <family val="2"/>
          </rPr>
          <t xml:space="preserve">Tarifliche Einkommensteuer in Euro
</t>
        </r>
        <r>
          <rPr>
            <sz val="8"/>
            <color indexed="81"/>
            <rFont val="Tahoma"/>
            <family val="2"/>
          </rPr>
          <t xml:space="preserve">
</t>
        </r>
      </text>
    </comment>
    <comment ref="N216" authorId="0" shapeId="0" xr:uid="{00000000-0006-0000-0900-0000BE000000}">
      <text>
        <r>
          <rPr>
            <b/>
            <sz val="8"/>
            <color indexed="81"/>
            <rFont val="Tahoma"/>
            <family val="2"/>
          </rPr>
          <t xml:space="preserve">Tarifliche Einkommensteuer in Euro
</t>
        </r>
        <r>
          <rPr>
            <sz val="8"/>
            <color indexed="81"/>
            <rFont val="Tahoma"/>
            <family val="2"/>
          </rPr>
          <t xml:space="preserve">
</t>
        </r>
      </text>
    </comment>
    <comment ref="N217" authorId="0" shapeId="0" xr:uid="{00000000-0006-0000-0900-0000BF000000}">
      <text>
        <r>
          <rPr>
            <b/>
            <sz val="8"/>
            <color indexed="81"/>
            <rFont val="Tahoma"/>
            <family val="2"/>
          </rPr>
          <t xml:space="preserve">Tarifliche Einkommensteuer in Euro
</t>
        </r>
        <r>
          <rPr>
            <sz val="8"/>
            <color indexed="81"/>
            <rFont val="Tahoma"/>
            <family val="2"/>
          </rPr>
          <t xml:space="preserve">
</t>
        </r>
      </text>
    </comment>
    <comment ref="N218" authorId="0" shapeId="0" xr:uid="{00000000-0006-0000-0900-0000C0000000}">
      <text>
        <r>
          <rPr>
            <b/>
            <sz val="8"/>
            <color indexed="81"/>
            <rFont val="Tahoma"/>
            <family val="2"/>
          </rPr>
          <t xml:space="preserve">Tarifliche Einkommensteuer auf das 0,75-fache ZX in Euro
</t>
        </r>
      </text>
    </comment>
    <comment ref="N219" authorId="0" shapeId="0" xr:uid="{00000000-0006-0000-0900-0000C1000000}">
      <text>
        <r>
          <rPr>
            <b/>
            <sz val="8"/>
            <color indexed="81"/>
            <rFont val="Tahoma"/>
            <family val="2"/>
          </rPr>
          <t>Differenz zwischen ST1 und ST2 in Euro</t>
        </r>
      </text>
    </comment>
    <comment ref="N220" authorId="0" shapeId="0" xr:uid="{00000000-0006-0000-0900-0000C2000000}">
      <text>
        <r>
          <rPr>
            <b/>
            <sz val="8"/>
            <color indexed="81"/>
            <rFont val="Tahoma"/>
            <family val="2"/>
          </rPr>
          <t>Mindeststeuer für die Steuerklassen V und VI in Euro</t>
        </r>
      </text>
    </comment>
    <comment ref="N221" authorId="0" shapeId="0" xr:uid="{00000000-0006-0000-0900-0000C3000000}">
      <text>
        <r>
          <rPr>
            <b/>
            <sz val="8"/>
            <color indexed="81"/>
            <rFont val="Tahoma"/>
            <family val="2"/>
          </rPr>
          <t xml:space="preserve">Tarifliche Einkommensteuer in Euro
</t>
        </r>
        <r>
          <rPr>
            <sz val="8"/>
            <color indexed="81"/>
            <rFont val="Tahoma"/>
            <family val="2"/>
          </rPr>
          <t xml:space="preserve">
</t>
        </r>
      </text>
    </comment>
    <comment ref="N222" authorId="0" shapeId="0" xr:uid="{00000000-0006-0000-0900-0000C4000000}">
      <text>
        <r>
          <rPr>
            <b/>
            <sz val="8"/>
            <color indexed="81"/>
            <rFont val="Tahoma"/>
            <family val="2"/>
          </rPr>
          <t>Zwischenfeld zu X für die Berechnung der Steuer nach § 39b
Absatz 2 Satz 7 EStG in Euro</t>
        </r>
      </text>
    </comment>
    <comment ref="N223" authorId="0" shapeId="0" xr:uid="{00000000-0006-0000-0900-0000C5000000}">
      <text>
        <r>
          <rPr>
            <b/>
            <sz val="8"/>
            <color indexed="81"/>
            <rFont val="Tahoma"/>
            <family val="2"/>
          </rPr>
          <t xml:space="preserve">Tarifliche Einkommensteuer in Euro
</t>
        </r>
        <r>
          <rPr>
            <sz val="8"/>
            <color indexed="81"/>
            <rFont val="Tahoma"/>
            <family val="2"/>
          </rPr>
          <t xml:space="preserve">
</t>
        </r>
      </text>
    </comment>
    <comment ref="N224" authorId="0" shapeId="0" xr:uid="{00000000-0006-0000-0900-0000C6000000}">
      <text>
        <r>
          <rPr>
            <b/>
            <sz val="8"/>
            <color indexed="81"/>
            <rFont val="Tahoma"/>
            <family val="2"/>
          </rPr>
          <t xml:space="preserve">Tarifliche Einkommensteuer in Euro
</t>
        </r>
        <r>
          <rPr>
            <sz val="8"/>
            <color indexed="81"/>
            <rFont val="Tahoma"/>
            <family val="2"/>
          </rPr>
          <t xml:space="preserve">
</t>
        </r>
      </text>
    </comment>
    <comment ref="N226" authorId="0" shapeId="0" xr:uid="{00000000-0006-0000-0900-0000C7000000}">
      <text>
        <r>
          <rPr>
            <b/>
            <sz val="8"/>
            <color indexed="81"/>
            <rFont val="Tahoma"/>
            <family val="2"/>
          </rPr>
          <t>Jahreslohnsteuer in Euro</t>
        </r>
      </text>
    </comment>
    <comment ref="N229" authorId="0" shapeId="0" xr:uid="{00000000-0006-0000-0900-0000C8000000}">
      <text>
        <r>
          <rPr>
            <b/>
            <sz val="8"/>
            <color indexed="81"/>
            <rFont val="Tahoma"/>
            <family val="2"/>
          </rPr>
          <t>Jahreswert, dessen Anteil für einen Lohnzahlungszeitraum in 
UPANTEIL errechnet werden soll in Cent</t>
        </r>
        <r>
          <rPr>
            <sz val="8"/>
            <color indexed="81"/>
            <rFont val="Tahoma"/>
            <family val="2"/>
          </rPr>
          <t xml:space="preserve">
</t>
        </r>
      </text>
    </comment>
    <comment ref="N231" authorId="0" shapeId="0" xr:uid="{00000000-0006-0000-0900-0000C9000000}">
      <text>
        <r>
          <rPr>
            <b/>
            <sz val="8"/>
            <color indexed="81"/>
            <rFont val="Tahoma"/>
            <family val="2"/>
          </rPr>
          <t>Anteil von Jahresbeträgen für einen LZZ (§ 39b Absatz 2 Satz 9 EStG)</t>
        </r>
      </text>
    </comment>
    <comment ref="N232" authorId="0" shapeId="0" xr:uid="{00000000-0006-0000-0900-0000CA000000}">
      <text>
        <r>
          <rPr>
            <b/>
            <sz val="8"/>
            <color indexed="81"/>
            <rFont val="Tahoma"/>
            <family val="2"/>
          </rPr>
          <t>Auf den Lohnzahlungszeitraum entfallender Anteil von Jahreswerten auf ganze Cent abgerundet</t>
        </r>
        <r>
          <rPr>
            <sz val="8"/>
            <color indexed="81"/>
            <rFont val="Tahoma"/>
            <family val="2"/>
          </rPr>
          <t xml:space="preserve">
</t>
        </r>
      </text>
    </comment>
    <comment ref="N233" authorId="0" shapeId="0" xr:uid="{00000000-0006-0000-0900-0000CB000000}">
      <text>
        <r>
          <rPr>
            <b/>
            <sz val="8"/>
            <color indexed="81"/>
            <rFont val="Tahoma"/>
            <family val="2"/>
          </rPr>
          <t>Für den Lohnzahlungszeitraum einzubehaltende Lohnsteuer in Cent</t>
        </r>
        <r>
          <rPr>
            <sz val="8"/>
            <color indexed="81"/>
            <rFont val="Tahoma"/>
            <family val="2"/>
          </rPr>
          <t xml:space="preserve">
</t>
        </r>
      </text>
    </comment>
    <comment ref="N234" authorId="0" shapeId="0" xr:uid="{00000000-0006-0000-0900-0000CC000000}">
      <text>
        <r>
          <rPr>
            <b/>
            <sz val="8"/>
            <color indexed="81"/>
            <rFont val="Tahoma"/>
            <family val="2"/>
          </rPr>
          <t>Feste Tabellenfreibeträge (ohne Vorsorgepauschale) in Euro, Cent
(2 Dezimalstellen)</t>
        </r>
      </text>
    </comment>
    <comment ref="N235" authorId="0" shapeId="0" xr:uid="{00000000-0006-0000-0900-0000CD000000}">
      <text>
        <r>
          <rPr>
            <b/>
            <sz val="8"/>
            <color indexed="81"/>
            <rFont val="Tahoma"/>
            <family val="2"/>
          </rPr>
          <t>Zu versteuerndes Einkommen in Euro, Cent (2 Dezimalstellen)</t>
        </r>
      </text>
    </comment>
    <comment ref="N236" authorId="0" shapeId="0" xr:uid="{00000000-0006-0000-0900-0000CE000000}">
      <text>
        <r>
          <rPr>
            <b/>
            <sz val="8"/>
            <color indexed="81"/>
            <rFont val="Tahoma"/>
            <family val="2"/>
          </rPr>
          <t>Zu versteuerndes Einkommen in Euro, Cent (2 Dezimalstellen)</t>
        </r>
      </text>
    </comment>
    <comment ref="N238" authorId="0" shapeId="0" xr:uid="{00000000-0006-0000-0900-0000CF000000}">
      <text>
        <r>
          <rPr>
            <b/>
            <sz val="8"/>
            <color indexed="81"/>
            <rFont val="Tahoma"/>
            <family val="2"/>
          </rPr>
          <t>Tarifliche Einkommensteuer (§ 32a EStG)</t>
        </r>
      </text>
    </comment>
    <comment ref="N239" authorId="0" shapeId="0" xr:uid="{00000000-0006-0000-0900-0000D0000000}">
      <text>
        <r>
          <rPr>
            <b/>
            <sz val="8"/>
            <color indexed="81"/>
            <rFont val="Tahoma"/>
            <family val="2"/>
          </rPr>
          <t xml:space="preserve">Tarifliche Einkommensteuer in Euro
</t>
        </r>
        <r>
          <rPr>
            <sz val="8"/>
            <color indexed="81"/>
            <rFont val="Tahoma"/>
            <family val="2"/>
          </rPr>
          <t xml:space="preserve">
</t>
        </r>
      </text>
    </comment>
    <comment ref="N240" authorId="0" shapeId="0" xr:uid="{00000000-0006-0000-0900-0000D1000000}">
      <text>
        <r>
          <rPr>
            <b/>
            <sz val="8"/>
            <color indexed="81"/>
            <rFont val="Tahoma"/>
            <family val="2"/>
          </rPr>
          <t>Gem. § 32 a Absatz 1 EStG (6 Dezimalstellen)</t>
        </r>
        <r>
          <rPr>
            <sz val="8"/>
            <color indexed="81"/>
            <rFont val="Tahoma"/>
            <family val="2"/>
          </rPr>
          <t xml:space="preserve">
</t>
        </r>
      </text>
    </comment>
    <comment ref="N241" authorId="0" shapeId="0" xr:uid="{00000000-0006-0000-0900-0000D2000000}">
      <text>
        <r>
          <rPr>
            <b/>
            <sz val="8"/>
            <color indexed="81"/>
            <rFont val="Tahoma"/>
            <family val="2"/>
          </rPr>
          <t>Rechenwert in Gleitkommadarstellung</t>
        </r>
        <r>
          <rPr>
            <sz val="8"/>
            <color indexed="81"/>
            <rFont val="Tahoma"/>
            <family val="2"/>
          </rPr>
          <t xml:space="preserve">
</t>
        </r>
      </text>
    </comment>
    <comment ref="N242" authorId="0" shapeId="0" xr:uid="{00000000-0006-0000-0900-0000D3000000}">
      <text>
        <r>
          <rPr>
            <b/>
            <sz val="8"/>
            <color indexed="81"/>
            <rFont val="Tahoma"/>
            <family val="2"/>
          </rPr>
          <t>Rechenwert in Gleitkommadarstellung</t>
        </r>
        <r>
          <rPr>
            <sz val="8"/>
            <color indexed="81"/>
            <rFont val="Tahoma"/>
            <family val="2"/>
          </rPr>
          <t xml:space="preserve">
</t>
        </r>
      </text>
    </comment>
    <comment ref="N243" authorId="0" shapeId="0" xr:uid="{00000000-0006-0000-0900-0000D4000000}">
      <text>
        <r>
          <rPr>
            <b/>
            <sz val="8"/>
            <color indexed="81"/>
            <rFont val="Tahoma"/>
            <family val="2"/>
          </rPr>
          <t xml:space="preserve">Tarifliche Einkommensteuer in Euro
</t>
        </r>
        <r>
          <rPr>
            <sz val="8"/>
            <color indexed="81"/>
            <rFont val="Tahoma"/>
            <family val="2"/>
          </rPr>
          <t xml:space="preserve">
</t>
        </r>
      </text>
    </comment>
    <comment ref="N244" authorId="0" shapeId="0" xr:uid="{00000000-0006-0000-0900-0000D5000000}">
      <text>
        <r>
          <rPr>
            <b/>
            <sz val="8"/>
            <color indexed="81"/>
            <rFont val="Tahoma"/>
            <family val="2"/>
          </rPr>
          <t>Gem. § 32 a Absatz 1 EStG (6 Dezimalstellen)</t>
        </r>
        <r>
          <rPr>
            <sz val="8"/>
            <color indexed="81"/>
            <rFont val="Tahoma"/>
            <family val="2"/>
          </rPr>
          <t xml:space="preserve">
</t>
        </r>
      </text>
    </comment>
    <comment ref="N245" authorId="0" shapeId="0" xr:uid="{00000000-0006-0000-0900-0000D6000000}">
      <text>
        <r>
          <rPr>
            <b/>
            <sz val="8"/>
            <color indexed="81"/>
            <rFont val="Tahoma"/>
            <family val="2"/>
          </rPr>
          <t>Rechenwert in Gleitkommadarstellung</t>
        </r>
        <r>
          <rPr>
            <sz val="8"/>
            <color indexed="81"/>
            <rFont val="Tahoma"/>
            <family val="2"/>
          </rPr>
          <t xml:space="preserve">
</t>
        </r>
      </text>
    </comment>
    <comment ref="N246" authorId="0" shapeId="0" xr:uid="{00000000-0006-0000-0900-0000D7000000}">
      <text>
        <r>
          <rPr>
            <b/>
            <sz val="8"/>
            <color indexed="81"/>
            <rFont val="Tahoma"/>
            <family val="2"/>
          </rPr>
          <t>Rechenwert in Gleitkommadarstellung</t>
        </r>
        <r>
          <rPr>
            <sz val="8"/>
            <color indexed="81"/>
            <rFont val="Tahoma"/>
            <family val="2"/>
          </rPr>
          <t xml:space="preserve">
</t>
        </r>
      </text>
    </comment>
    <comment ref="N247" authorId="0" shapeId="0" xr:uid="{00000000-0006-0000-0900-0000D8000000}">
      <text>
        <r>
          <rPr>
            <b/>
            <sz val="8"/>
            <color indexed="81"/>
            <rFont val="Tahoma"/>
            <family val="2"/>
          </rPr>
          <t>Rechenwert in Gleitkommadarstellung</t>
        </r>
        <r>
          <rPr>
            <sz val="8"/>
            <color indexed="81"/>
            <rFont val="Tahoma"/>
            <family val="2"/>
          </rPr>
          <t xml:space="preserve">
</t>
        </r>
      </text>
    </comment>
    <comment ref="N248" authorId="0" shapeId="0" xr:uid="{00000000-0006-0000-0900-0000D9000000}">
      <text>
        <r>
          <rPr>
            <b/>
            <sz val="8"/>
            <color indexed="81"/>
            <rFont val="Tahoma"/>
            <family val="2"/>
          </rPr>
          <t xml:space="preserve">Tarifliche Einkommensteuer in Euro
</t>
        </r>
        <r>
          <rPr>
            <sz val="8"/>
            <color indexed="81"/>
            <rFont val="Tahoma"/>
            <family val="2"/>
          </rPr>
          <t xml:space="preserve">
</t>
        </r>
      </text>
    </comment>
    <comment ref="N249" authorId="0" shapeId="0" xr:uid="{00000000-0006-0000-0900-0000DA000000}">
      <text>
        <r>
          <rPr>
            <b/>
            <sz val="8"/>
            <color indexed="81"/>
            <rFont val="Tahoma"/>
            <family val="2"/>
          </rPr>
          <t xml:space="preserve">Tarifliche Einkommensteuer in Euro
</t>
        </r>
        <r>
          <rPr>
            <sz val="8"/>
            <color indexed="81"/>
            <rFont val="Tahoma"/>
            <family val="2"/>
          </rPr>
          <t xml:space="preserve">
</t>
        </r>
      </text>
    </comment>
    <comment ref="N250" authorId="0" shapeId="0" xr:uid="{00000000-0006-0000-0900-0000DB000000}">
      <text>
        <r>
          <rPr>
            <b/>
            <sz val="8"/>
            <color indexed="81"/>
            <rFont val="Tahoma"/>
            <family val="2"/>
          </rPr>
          <t xml:space="preserve">Tarifliche Einkommensteuer in Euro
</t>
        </r>
        <r>
          <rPr>
            <sz val="8"/>
            <color indexed="81"/>
            <rFont val="Tahoma"/>
            <family val="2"/>
          </rPr>
          <t xml:space="preserve">
</t>
        </r>
      </text>
    </comment>
    <comment ref="N251" authorId="0" shapeId="0" xr:uid="{00000000-0006-0000-0900-0000DC000000}">
      <text>
        <r>
          <rPr>
            <b/>
            <sz val="8"/>
            <color indexed="81"/>
            <rFont val="Tahoma"/>
            <family val="2"/>
          </rPr>
          <t xml:space="preserve">Tarifliche Einkommensteuer in Euro
</t>
        </r>
        <r>
          <rPr>
            <sz val="8"/>
            <color indexed="81"/>
            <rFont val="Tahoma"/>
            <family val="2"/>
          </rPr>
          <t xml:space="preserve">
</t>
        </r>
      </text>
    </comment>
    <comment ref="N252" authorId="0" shapeId="0" xr:uid="{00000000-0006-0000-0900-0000DD000000}">
      <text>
        <r>
          <rPr>
            <b/>
            <sz val="8"/>
            <color indexed="81"/>
            <rFont val="Tahoma"/>
            <family val="2"/>
          </rPr>
          <t>Jahressteuer nach § 51a EStG, aus der Solidaritätszuschlag und 
Bemessungsgrundlage für die Kirchenlohnsteuer ermittelt werden
in Euro</t>
        </r>
      </text>
    </comment>
    <comment ref="N254" authorId="0" shapeId="0" xr:uid="{00000000-0006-0000-0900-0000DE000000}">
      <text>
        <r>
          <rPr>
            <b/>
            <sz val="8"/>
            <color indexed="81"/>
            <rFont val="Tahoma"/>
            <family val="2"/>
          </rPr>
          <t>Solidaritätszuschlag</t>
        </r>
      </text>
    </comment>
    <comment ref="N255" authorId="0" shapeId="0" xr:uid="{00000000-0006-0000-0900-0000DF000000}">
      <text>
        <r>
          <rPr>
            <b/>
            <sz val="8"/>
            <color indexed="81"/>
            <rFont val="Tahoma"/>
            <family val="2"/>
          </rPr>
          <t>Freigrenze für den Solidaritätszuschlag in Euro</t>
        </r>
        <r>
          <rPr>
            <sz val="8"/>
            <color indexed="81"/>
            <rFont val="Tahoma"/>
            <family val="2"/>
          </rPr>
          <t xml:space="preserve">
</t>
        </r>
      </text>
    </comment>
    <comment ref="N256" authorId="0" shapeId="0" xr:uid="{00000000-0006-0000-0900-0000E0000000}">
      <text>
        <r>
          <rPr>
            <b/>
            <sz val="8"/>
            <color indexed="81"/>
            <rFont val="Tahoma"/>
            <family val="2"/>
          </rPr>
          <t>Solidaritätszuschlag auf die Jahreslohnsteuer in Euro, Cent (2 Dezimalstellen)</t>
        </r>
        <r>
          <rPr>
            <sz val="8"/>
            <color indexed="81"/>
            <rFont val="Tahoma"/>
            <family val="2"/>
          </rPr>
          <t xml:space="preserve">
</t>
        </r>
      </text>
    </comment>
    <comment ref="N257" authorId="0" shapeId="0" xr:uid="{00000000-0006-0000-0900-0000E1000000}">
      <text>
        <r>
          <rPr>
            <b/>
            <sz val="8"/>
            <color indexed="81"/>
            <rFont val="Tahoma"/>
            <family val="2"/>
          </rPr>
          <t>Zwischenwert für den Solidaritätszuschlag auf die Jahreslohnsteuer in Euro, Cent (2 Dezimalstellen)</t>
        </r>
        <r>
          <rPr>
            <sz val="8"/>
            <color indexed="81"/>
            <rFont val="Tahoma"/>
            <family val="2"/>
          </rPr>
          <t xml:space="preserve">
</t>
        </r>
      </text>
    </comment>
    <comment ref="N258" authorId="0" shapeId="0" xr:uid="{00000000-0006-0000-0900-0000E2000000}">
      <text>
        <r>
          <rPr>
            <b/>
            <sz val="8"/>
            <color indexed="81"/>
            <rFont val="Tahoma"/>
            <family val="2"/>
          </rPr>
          <t>Solidaritätszuschlag auf die Jahreslohnsteuer in Euro, Cent (2 Dezimalstellen)</t>
        </r>
        <r>
          <rPr>
            <sz val="8"/>
            <color indexed="81"/>
            <rFont val="Tahoma"/>
            <family val="2"/>
          </rPr>
          <t xml:space="preserve">
</t>
        </r>
      </text>
    </comment>
    <comment ref="N259" authorId="0" shapeId="0" xr:uid="{00000000-0006-0000-0900-0000E3000000}">
      <text>
        <r>
          <rPr>
            <b/>
            <sz val="8"/>
            <color indexed="81"/>
            <rFont val="Tahoma"/>
            <family val="2"/>
          </rPr>
          <t>Jahreswert, dessen Anteil für einen Lohnzahlungszeitraum in 
UPANTEIL errechnet werden soll in Cent</t>
        </r>
        <r>
          <rPr>
            <sz val="8"/>
            <color indexed="81"/>
            <rFont val="Tahoma"/>
            <family val="2"/>
          </rPr>
          <t xml:space="preserve">
</t>
        </r>
      </text>
    </comment>
    <comment ref="N261" authorId="0" shapeId="0" xr:uid="{00000000-0006-0000-0900-0000E4000000}">
      <text>
        <r>
          <rPr>
            <b/>
            <sz val="8"/>
            <color indexed="81"/>
            <rFont val="Tahoma"/>
            <family val="2"/>
          </rPr>
          <t>Anteil von Jahresbeträgen für einen LZZ (§ 39b Absatz 2 Satz 9 EStG)</t>
        </r>
      </text>
    </comment>
    <comment ref="N262" authorId="0" shapeId="0" xr:uid="{00000000-0006-0000-0900-0000E5000000}">
      <text>
        <r>
          <rPr>
            <b/>
            <sz val="8"/>
            <color indexed="81"/>
            <rFont val="Tahoma"/>
            <family val="2"/>
          </rPr>
          <t>Auf den Lohnzahlungszeitraum entfallender Anteil von Jahreswerten auf ganze Cent abgerundet</t>
        </r>
        <r>
          <rPr>
            <sz val="8"/>
            <color indexed="81"/>
            <rFont val="Tahoma"/>
            <family val="2"/>
          </rPr>
          <t xml:space="preserve">
</t>
        </r>
      </text>
    </comment>
    <comment ref="N263" authorId="0" shapeId="0" xr:uid="{00000000-0006-0000-0900-0000E6000000}">
      <text>
        <r>
          <rPr>
            <b/>
            <sz val="8"/>
            <color indexed="81"/>
            <rFont val="Tahoma"/>
            <family val="2"/>
          </rPr>
          <t>Für den Lohnzahlungszeitraum einzubehaltender Solidaritäts-
zuschlag in Cent</t>
        </r>
        <r>
          <rPr>
            <sz val="8"/>
            <color indexed="81"/>
            <rFont val="Tahoma"/>
            <family val="2"/>
          </rPr>
          <t xml:space="preserve">
</t>
        </r>
      </text>
    </comment>
    <comment ref="N264" authorId="0" shapeId="0" xr:uid="{00000000-0006-0000-0900-0000E7000000}">
      <text>
        <r>
          <rPr>
            <b/>
            <sz val="8"/>
            <color indexed="81"/>
            <rFont val="Tahoma"/>
            <family val="2"/>
          </rPr>
          <t>Jahreswert, dessen Anteil für einen Lohnzahlungszeitraum in 
UPANTEIL errechnet werden soll in Cent</t>
        </r>
        <r>
          <rPr>
            <sz val="8"/>
            <color indexed="81"/>
            <rFont val="Tahoma"/>
            <family val="2"/>
          </rPr>
          <t xml:space="preserve">
</t>
        </r>
      </text>
    </comment>
    <comment ref="N266" authorId="0" shapeId="0" xr:uid="{00000000-0006-0000-0900-0000E8000000}">
      <text>
        <r>
          <rPr>
            <b/>
            <sz val="8"/>
            <color indexed="81"/>
            <rFont val="Tahoma"/>
            <family val="2"/>
          </rPr>
          <t>Anteil von Jahresbeträgen für einen LZZ (§ 39b Absatz 2 Satz 9 EStG)</t>
        </r>
      </text>
    </comment>
    <comment ref="N267" authorId="0" shapeId="0" xr:uid="{00000000-0006-0000-0900-0000E9000000}">
      <text>
        <r>
          <rPr>
            <b/>
            <sz val="8"/>
            <color indexed="81"/>
            <rFont val="Tahoma"/>
            <family val="2"/>
          </rPr>
          <t>Auf den Lohnzahlungszeitraum entfallender Anteil von Jahreswerten auf ganze Cent abgerundet</t>
        </r>
        <r>
          <rPr>
            <sz val="8"/>
            <color indexed="81"/>
            <rFont val="Tahoma"/>
            <family val="2"/>
          </rPr>
          <t xml:space="preserve">
</t>
        </r>
      </text>
    </comment>
    <comment ref="N268" authorId="0" shapeId="0" xr:uid="{00000000-0006-0000-0900-0000EA000000}">
      <text>
        <r>
          <rPr>
            <b/>
            <sz val="8"/>
            <color indexed="81"/>
            <rFont val="Tahoma"/>
            <family val="2"/>
          </rPr>
          <t>Bemessungsgrundlage für die Kirchenlohnsteuer in Cent</t>
        </r>
        <r>
          <rPr>
            <sz val="8"/>
            <color indexed="81"/>
            <rFont val="Tahoma"/>
            <family val="2"/>
          </rPr>
          <t xml:space="preserve">
</t>
        </r>
      </text>
    </comment>
  </commentList>
</comments>
</file>

<file path=xl/sharedStrings.xml><?xml version="1.0" encoding="utf-8"?>
<sst xmlns="http://schemas.openxmlformats.org/spreadsheetml/2006/main" count="903" uniqueCount="301">
  <si>
    <t>Krankenkasse</t>
  </si>
  <si>
    <t>Sv-Nummer</t>
  </si>
  <si>
    <t>Steuer-ID-Nr.</t>
  </si>
  <si>
    <t>Eintritt</t>
  </si>
  <si>
    <t>Austritt</t>
  </si>
  <si>
    <t>Persönlich</t>
  </si>
  <si>
    <t>Personal Nr.:</t>
  </si>
  <si>
    <t>Bezeichnung</t>
  </si>
  <si>
    <t>Betrag</t>
  </si>
  <si>
    <t>Gehalt</t>
  </si>
  <si>
    <t>RV</t>
  </si>
  <si>
    <t>PV</t>
  </si>
  <si>
    <t>AV</t>
  </si>
  <si>
    <t>Nettogehalt</t>
  </si>
  <si>
    <t>Auszahlungsbetrag</t>
  </si>
  <si>
    <t>Bruttogehalt</t>
  </si>
  <si>
    <t>Beiträge in % AN</t>
  </si>
  <si>
    <t>AOK</t>
  </si>
  <si>
    <t>BEK</t>
  </si>
  <si>
    <t>DAK</t>
  </si>
  <si>
    <t>KKH</t>
  </si>
  <si>
    <t>Mitarbeiter/-in:</t>
  </si>
  <si>
    <t>Sonderzahlung</t>
  </si>
  <si>
    <t>PV-Zuschlag</t>
  </si>
  <si>
    <t>PV-Zuschlag?</t>
  </si>
  <si>
    <t>ja</t>
  </si>
  <si>
    <t>Monat und Jahr auswählen</t>
  </si>
  <si>
    <t xml:space="preserve">Gehaltsabrechnung </t>
  </si>
  <si>
    <t>Arbeitgeber:</t>
  </si>
  <si>
    <t>Summenblatt</t>
  </si>
  <si>
    <t>Abzüge</t>
  </si>
  <si>
    <t>Position</t>
  </si>
  <si>
    <t>Beitragsnachweis</t>
  </si>
  <si>
    <t>Beitrags-
gruppe</t>
  </si>
  <si>
    <t>Betrag
€</t>
  </si>
  <si>
    <t>Beiträge zur Krankenversicherung - allgemeiner Beitrag</t>
  </si>
  <si>
    <t>Beiträge zur Krankenversicherung - ermäßigter Beitrag</t>
  </si>
  <si>
    <t>Zusatzbeiträge zur Krankenversicherung für Pflichtversicherte</t>
  </si>
  <si>
    <t>Beiträge zur Rentenversicherung  - voller Beitrag</t>
  </si>
  <si>
    <t>0100</t>
  </si>
  <si>
    <t>Beiträge zur Rentenversicherung  - halber Beitrag</t>
  </si>
  <si>
    <t>0300</t>
  </si>
  <si>
    <t>Beiträge zur Arbeitsförderung - voller Beitrag</t>
  </si>
  <si>
    <t>0010</t>
  </si>
  <si>
    <t>Beiträge zur Arbeitsförderung - halber Beitrag</t>
  </si>
  <si>
    <t>0020</t>
  </si>
  <si>
    <t>Beiträge zur sozialen Pflegeversicherung</t>
  </si>
  <si>
    <t>0001</t>
  </si>
  <si>
    <t>Umlage Krankheitsaufwendungen</t>
  </si>
  <si>
    <t>U1</t>
  </si>
  <si>
    <t>Umlage Mutterschutzaufwendungen</t>
  </si>
  <si>
    <t>U2</t>
  </si>
  <si>
    <t>Umlage zur Insolvenzgeldversicherung</t>
  </si>
  <si>
    <t>INSO</t>
  </si>
  <si>
    <t>Gesamtsumme</t>
  </si>
  <si>
    <t>Es wird bestätigt, dass die Angaben mit denen der Lohn- und Gehaltsunterlagen übereinstimmten und in diesen sämtliche Entgelte enthalten sind.</t>
  </si>
  <si>
    <t>Beiträge für freiwillig Kranken-versicherte **</t>
  </si>
  <si>
    <t>zur KV ohne Zusatzbeiträge**</t>
  </si>
  <si>
    <t>Zusatzbeiträge</t>
  </si>
  <si>
    <t>zur PV</t>
  </si>
  <si>
    <t>abzgl. Erstattung U1/U2</t>
  </si>
  <si>
    <t>zu zahlender Betrag/Guthaben</t>
  </si>
  <si>
    <t>Positionen</t>
  </si>
  <si>
    <t>Zeile 18:</t>
  </si>
  <si>
    <t>Zeile 23:</t>
  </si>
  <si>
    <t>Zeile 24:</t>
  </si>
  <si>
    <t>Zeile 26:</t>
  </si>
  <si>
    <t>Zeile 33:</t>
  </si>
  <si>
    <t>Muster-Üfa</t>
  </si>
  <si>
    <t>10101 Musterstadt</t>
  </si>
  <si>
    <t>Musterstraße 1</t>
  </si>
  <si>
    <t>Steuer</t>
  </si>
  <si>
    <t xml:space="preserve">   Lohnsteuer</t>
  </si>
  <si>
    <t xml:space="preserve">   Kirchensteuer</t>
  </si>
  <si>
    <t xml:space="preserve"> </t>
  </si>
  <si>
    <t xml:space="preserve">   Soli-Zuschlag</t>
  </si>
  <si>
    <t xml:space="preserve">   KV</t>
  </si>
  <si>
    <t xml:space="preserve">   RV</t>
  </si>
  <si>
    <t xml:space="preserve">   AV</t>
  </si>
  <si>
    <t xml:space="preserve">   PV</t>
  </si>
  <si>
    <t xml:space="preserve">   PV-Zuschlag</t>
  </si>
  <si>
    <t>Versicherungen</t>
  </si>
  <si>
    <t>Name und Anschrift Üfa</t>
  </si>
  <si>
    <t>Wichtig: Bitte lesen Sie diese Erklärungen, bevor Sie mit dieser Datei arbeiten!</t>
  </si>
  <si>
    <t>2. Erklärung der Tabellenblätter:</t>
  </si>
  <si>
    <t>Inhalt</t>
  </si>
  <si>
    <t>Auszufüllen</t>
  </si>
  <si>
    <t xml:space="preserve"> -- </t>
  </si>
  <si>
    <t>LSt_Anm</t>
  </si>
  <si>
    <t>Daten für die Lohnsteueranmeldung</t>
  </si>
  <si>
    <t xml:space="preserve"> --</t>
  </si>
  <si>
    <t>Beitragssätze SV</t>
  </si>
  <si>
    <t>Beitragssätze der Sozialversicherung</t>
  </si>
  <si>
    <t>Sätze nur bei Veränderung anpassen</t>
  </si>
  <si>
    <t>3. Vorgehensweise:</t>
  </si>
  <si>
    <t xml:space="preserve">   1. Datei unter neuem Namen speichern; Dateiname enthält den aktuellen Abrechnungsmonat.</t>
  </si>
  <si>
    <t>Eintragungen nur in grün hinterlegte Felder.</t>
  </si>
  <si>
    <t>Alle anderen Felder werden automatisch ausgefüllt und dürfen nicht verändert werden.</t>
  </si>
  <si>
    <t>4. Legende Farbcode</t>
  </si>
  <si>
    <t xml:space="preserve">   ausfüllen</t>
  </si>
  <si>
    <t xml:space="preserve">   nicht ausfüllen</t>
  </si>
  <si>
    <t xml:space="preserve">   Hinweis</t>
  </si>
  <si>
    <t>GH_Gesamt</t>
  </si>
  <si>
    <t>BN_AOK bis BN_KKH</t>
  </si>
  <si>
    <t>Start</t>
  </si>
  <si>
    <t>Ende</t>
  </si>
  <si>
    <t>Beitragsnachweise für die Krankenkassen</t>
  </si>
  <si>
    <t xml:space="preserve">leere Seite; wird benötigt, nicht löschen!! </t>
  </si>
  <si>
    <t>Gehaltsabrechnung pro Beschäftigtem</t>
  </si>
  <si>
    <t>Die Beitragssätze sind jährlich zu aktualiseren; die aktuellen Beiträge sind in ZET5 im Modul Krankenkassen zu finden. Die Felder A4-A11 dürfen nicht verändert werden.</t>
  </si>
  <si>
    <t>Name des Beschäftigten  sowie alle weiteren grün hinterlegten Felder</t>
  </si>
  <si>
    <t>Summen Gehälter, SV-Beiträge gesamt und pro Krankenkasse, Steuerbeträge</t>
  </si>
  <si>
    <t xml:space="preserve">   2. In Blatt GH_Gesamt: Abrechnungsmonat und -jahr aus Liste wählen; Firma und Anschrift der Üfa eintragen</t>
  </si>
  <si>
    <t>Außer den hier genannten Eintragungen dürfen keine weiteren Eintragungen vorgenommen werden!!
Es dürfen keine Spalten / Zeilen / Tabellenblätter gelöscht werden!</t>
  </si>
  <si>
    <t xml:space="preserve">MA01, MA02 </t>
  </si>
  <si>
    <t>Steuerklasse</t>
  </si>
  <si>
    <t>Diese Daten sind in der Lohnsteuer-Anmeldung in ZET5 einzutragen.</t>
  </si>
  <si>
    <t>Buchungssätze</t>
  </si>
  <si>
    <t>an Verbindlichkeiten ggü. Finanzamt</t>
  </si>
  <si>
    <t>an Verbindlichkeiten ggü. Sozialversicherung</t>
  </si>
  <si>
    <t>an Verbindlichkeiten ggü. Mitarbeitern</t>
  </si>
  <si>
    <t>Kontrolle</t>
  </si>
  <si>
    <t>Name MA
(keine Privatanschrift wegen Datenschutz)</t>
  </si>
  <si>
    <t>Eingangsparameter</t>
  </si>
  <si>
    <t>AF</t>
  </si>
  <si>
    <t>AJAHR</t>
  </si>
  <si>
    <t>ALTER1</t>
  </si>
  <si>
    <t>F</t>
  </si>
  <si>
    <t>KRV</t>
  </si>
  <si>
    <t>KVZ</t>
  </si>
  <si>
    <t>LZZ</t>
  </si>
  <si>
    <t>LZZFREIB</t>
  </si>
  <si>
    <t>LZZHINZU</t>
  </si>
  <si>
    <t>PKPV</t>
  </si>
  <si>
    <t>PKV</t>
  </si>
  <si>
    <t>PVS</t>
  </si>
  <si>
    <t>PVZ</t>
  </si>
  <si>
    <t>R</t>
  </si>
  <si>
    <t>RE4</t>
  </si>
  <si>
    <t>STERBE</t>
  </si>
  <si>
    <t>STKL</t>
  </si>
  <si>
    <t>VBEZ</t>
  </si>
  <si>
    <t>VBEZM</t>
  </si>
  <si>
    <t>VBEZS</t>
  </si>
  <si>
    <t>VJAHR</t>
  </si>
  <si>
    <t>ZKF</t>
  </si>
  <si>
    <t>ZMVB</t>
  </si>
  <si>
    <t>Interne Felder</t>
  </si>
  <si>
    <t>MPARA</t>
  </si>
  <si>
    <t>BBGRV</t>
  </si>
  <si>
    <t>RVSATZAN</t>
  </si>
  <si>
    <t>TBSVORV</t>
  </si>
  <si>
    <t>BBGKVPV</t>
  </si>
  <si>
    <t>KVSATZAN</t>
  </si>
  <si>
    <t>KVSATZAG</t>
  </si>
  <si>
    <t>PVSATZAN</t>
  </si>
  <si>
    <t>PVSATZAG</t>
  </si>
  <si>
    <t>W1STKL5</t>
  </si>
  <si>
    <t>W2STKL5</t>
  </si>
  <si>
    <t>W3STKL5</t>
  </si>
  <si>
    <t>GFB</t>
  </si>
  <si>
    <t>SOLZFREI</t>
  </si>
  <si>
    <t>MRE4JL</t>
  </si>
  <si>
    <t>ZRE4J</t>
  </si>
  <si>
    <t>ZVBEZJ</t>
  </si>
  <si>
    <t>JLFREIB</t>
  </si>
  <si>
    <t>JLHINZU</t>
  </si>
  <si>
    <t>MRE4</t>
  </si>
  <si>
    <t>J</t>
  </si>
  <si>
    <t>TAB1</t>
  </si>
  <si>
    <t>TAB2</t>
  </si>
  <si>
    <t>TAB3</t>
  </si>
  <si>
    <t>VBEZB</t>
  </si>
  <si>
    <t>HFVB</t>
  </si>
  <si>
    <t>FVBZ</t>
  </si>
  <si>
    <t>FVB</t>
  </si>
  <si>
    <t>HFVBZ</t>
  </si>
  <si>
    <t>MRE4ALTE</t>
  </si>
  <si>
    <t>K</t>
  </si>
  <si>
    <t>TAB4</t>
  </si>
  <si>
    <t>TAB5</t>
  </si>
  <si>
    <t>BMG</t>
  </si>
  <si>
    <t>ALTE</t>
  </si>
  <si>
    <t>HBALTE</t>
  </si>
  <si>
    <t>MRE4ABZ</t>
  </si>
  <si>
    <t>ZRE4</t>
  </si>
  <si>
    <t>ZRE4VP</t>
  </si>
  <si>
    <t>ZVBEZ</t>
  </si>
  <si>
    <t>MZTABFB</t>
  </si>
  <si>
    <t>KZTAB</t>
  </si>
  <si>
    <t>ANP</t>
  </si>
  <si>
    <t>EFA</t>
  </si>
  <si>
    <t>SAP</t>
  </si>
  <si>
    <t>KFB</t>
  </si>
  <si>
    <t>ZTABFB</t>
  </si>
  <si>
    <t>MLSTJAHR</t>
  </si>
  <si>
    <t>UPEVP</t>
  </si>
  <si>
    <t>VSP1</t>
  </si>
  <si>
    <t>VSP2</t>
  </si>
  <si>
    <t>VHB</t>
  </si>
  <si>
    <t>VSPN</t>
  </si>
  <si>
    <t>MVSP</t>
  </si>
  <si>
    <t>VSP3: PKV=0</t>
  </si>
  <si>
    <t>VSP3: STKL = 6</t>
  </si>
  <si>
    <t>VSP3: PKV=1</t>
  </si>
  <si>
    <t>VSP3: PKV=2</t>
  </si>
  <si>
    <t>VSP3</t>
  </si>
  <si>
    <t>VSP</t>
  </si>
  <si>
    <t>ZVE</t>
  </si>
  <si>
    <t>UPMLST</t>
  </si>
  <si>
    <t>ZVE, X</t>
  </si>
  <si>
    <t>ST</t>
  </si>
  <si>
    <t>Y</t>
  </si>
  <si>
    <t>RW</t>
  </si>
  <si>
    <t>MST5-6</t>
  </si>
  <si>
    <t>ZZX</t>
  </si>
  <si>
    <t>ZX</t>
  </si>
  <si>
    <t>UP5-6</t>
  </si>
  <si>
    <t>X</t>
  </si>
  <si>
    <t>ST1</t>
  </si>
  <si>
    <t>ST2</t>
  </si>
  <si>
    <t>DIFF</t>
  </si>
  <si>
    <t>MIST</t>
  </si>
  <si>
    <t>VERGL</t>
  </si>
  <si>
    <t>HOCH</t>
  </si>
  <si>
    <t>LSTJAHR</t>
  </si>
  <si>
    <t>UPLSTLZZ</t>
  </si>
  <si>
    <t>JW</t>
  </si>
  <si>
    <t>UPANTEIL</t>
  </si>
  <si>
    <t>ANTEIL1</t>
  </si>
  <si>
    <t>LSTLZZ</t>
  </si>
  <si>
    <t>JBMG</t>
  </si>
  <si>
    <t>MSOLZ</t>
  </si>
  <si>
    <t>SOLZJ</t>
  </si>
  <si>
    <t>SOLZMIN</t>
  </si>
  <si>
    <t>SOLZLZZ</t>
  </si>
  <si>
    <t>BK</t>
  </si>
  <si>
    <t>SV-Nummer</t>
  </si>
  <si>
    <t xml:space="preserve">Abrechnungsmonat und - jahr aus Liste wählen; Name und Anschrift der Üfa </t>
  </si>
  <si>
    <t>Lohnsteuerklasse wählen</t>
  </si>
  <si>
    <t>Krankenkasse wählen</t>
  </si>
  <si>
    <t>ggf. Sonderzahlung eintragen</t>
  </si>
  <si>
    <t>Gehalt eintragen</t>
  </si>
  <si>
    <t>Kirchensteuer ja / nein wählen</t>
  </si>
  <si>
    <t xml:space="preserve">   3. Blatt MA01 kopieren und zwischen MA02 und Ende (wichtig!!) einfügen; Blatt in MA03 umbenennen; diesen Vorgang so oft wiederholen, 
       bis für jeden Beschäftigten  ein Blatt MAxx vorhanden ist.
      Hinweis: Das Umbennen der Dateiblätter MAxx in die Namen der Beschäftigten ist zulässig.
      Hinweis: MA01 und MA02 können für die ersten zwei Beschäftigten (egal ob GF oder MA) verwendet werden.
</t>
  </si>
  <si>
    <t xml:space="preserve">   4. In Blatt MA01: grün hinterlegte Felder für den ersten abzurechnenden Beschäftigten ausfüllen; diesen Vorgang auf jedem Blatt MAxx 
       durchführen.</t>
  </si>
  <si>
    <t>5. Quelle Lohnsteuerberechnung</t>
  </si>
  <si>
    <t>https://sites.google.com/site/lohnsteuerfuerexcel/home</t>
  </si>
  <si>
    <t>https://www.bmf-steuerrechner.de/</t>
  </si>
  <si>
    <t>6. Anwendungsbereich</t>
  </si>
  <si>
    <t>Die Werte der Gehaltsabrechnungen, für den Beitragsnachweis und für die Lohnsteuer werden automatisch berechnet.</t>
  </si>
  <si>
    <t>PV-Zuschlag wählen</t>
  </si>
  <si>
    <t>Blattschutz: Die Blätter sind mit einem Blattschutz ohne Passwort versehen, so dass Eingaben nur in den richtigen Feldern gemacht werden können. Wenn gewünscht, können Sie zum Blattschutz ein Passwort vergeben.</t>
  </si>
  <si>
    <r>
      <rPr>
        <b/>
        <sz val="12"/>
        <rFont val="Calibri"/>
        <family val="2"/>
        <scheme val="minor"/>
      </rPr>
      <t>1. Grundlage</t>
    </r>
    <r>
      <rPr>
        <sz val="12"/>
        <color theme="1"/>
        <rFont val="Calibri"/>
        <family val="2"/>
        <scheme val="minor"/>
      </rPr>
      <t>: 
Diese variable Abrechnung ermöglicht die individuelle Abrechnung pro Beschäftigtem mit individuellem Gehalt, individueller Steuerklasse (ohne Berücksichtigung 
von Kinderfreibeträgen) und individueller Krankenkasse. 
Pro Beschäftigtem muss ein Tablettenblatt angelegt werden (Kopien von MA01) - siehe Vorgehensweise unten.</t>
    </r>
  </si>
  <si>
    <t xml:space="preserve">Diese Datei ist ausschließlich zur Anwendung in Übungsfirmen vorgesehen. Die Richtigkeit der Berechnungen kann nicht garantiert werden. </t>
  </si>
  <si>
    <t>Aufgrund der enormen Komplexität des Sozialversicherungs- und Steuerrechts können nicht alle Besonderheiten berücksichtigt werden. Z. B. werden Beitragsbemessungsgrenzen, 
Kinderfreibeträge, Auswirkung des PV-Zuschlags auf die Lohnsteuer nicht berücksichtigt. Daher können sich geringe Abweichungen zur Berechnung mit offiziellen Programmen ergeben.</t>
  </si>
  <si>
    <t>Die Ergebnisse werden automatisch in den entsprechenden Blättern angezeigt.</t>
  </si>
  <si>
    <t>MBERECH</t>
  </si>
  <si>
    <t>UPTAB20</t>
  </si>
  <si>
    <t>BK nach C29</t>
  </si>
  <si>
    <t>SOLZLZZ nach C30</t>
  </si>
  <si>
    <t>LSTLZZ nach C28</t>
  </si>
  <si>
    <t>RE4 aus C23</t>
  </si>
  <si>
    <t>STKL aus C17</t>
  </si>
  <si>
    <t>Anleitung neues Jahr</t>
  </si>
  <si>
    <t>damit Formeln kopiert werden</t>
  </si>
  <si>
    <t>Datei "steuer20xx.xls" =&gt; "steuer20xx.xlsx" speichern</t>
  </si>
  <si>
    <t>- RE4</t>
  </si>
  <si>
    <t>=C23*100</t>
  </si>
  <si>
    <t>=C17</t>
  </si>
  <si>
    <t>blaue Formel in Spalte O anpassen (Wert aus Abrechnung)</t>
  </si>
  <si>
    <t>lila Formel in Spalte C anpassen (Wert nach Abrechnung)</t>
  </si>
  <si>
    <t>- STKL</t>
  </si>
  <si>
    <t>- Kirchensteuer</t>
  </si>
  <si>
    <t>- Soli-Zuschlag</t>
  </si>
  <si>
    <t>(Bruttogehalt)</t>
  </si>
  <si>
    <t>(Steuerklasse)</t>
  </si>
  <si>
    <t>(LSTLZZ)</t>
  </si>
  <si>
    <t>(BK)</t>
  </si>
  <si>
    <t>(SOLZLZZ)</t>
  </si>
  <si>
    <t>= ?</t>
  </si>
  <si>
    <t>- Lohnsteuer</t>
  </si>
  <si>
    <t>1.</t>
  </si>
  <si>
    <t>2.</t>
  </si>
  <si>
    <t>3.</t>
  </si>
  <si>
    <t>4.</t>
  </si>
  <si>
    <t>5.</t>
  </si>
  <si>
    <t>6.</t>
  </si>
  <si>
    <t>TabBlatt "MA02" ersetzten (löschen und kopieren)</t>
  </si>
  <si>
    <t>aus Abrechnung</t>
  </si>
  <si>
    <t>nach Abrechnung</t>
  </si>
  <si>
    <t>7.</t>
  </si>
  <si>
    <t>Spalte "Namen" in Spalte "M" kopieren als Wert</t>
  </si>
  <si>
    <t>Spalte "Wert/Formeln"  in Spalte "O" kopieren als Formel</t>
  </si>
  <si>
    <t>Spalte "Kommentare"  in Spalte "N" kopieren als Wert</t>
  </si>
  <si>
    <t>automatische Feldzuweisung</t>
  </si>
  <si>
    <t>Name</t>
  </si>
  <si>
    <t>Sozialversicherungsbeitragssätze 2020</t>
  </si>
  <si>
    <t>SV-Anteil AG:</t>
  </si>
  <si>
    <t>alternativ in ZET5 Eintrag in Zeile 27-30</t>
  </si>
  <si>
    <t>Diese Daten sind im Beitragsnachweis
in ZET5 einzutragen.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</si>
</sst>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164" formatCode="#,##0.000\ &quot;€&quot;"/>
    <numFmt numFmtId="165" formatCode="#,##0.00\ &quot;€&quot;"/>
    <numFmt numFmtId="166" formatCode="0.000"/>
    <numFmt numFmtId="167" formatCode="0.0"/>
    <numFmt numFmtId="168" formatCode="0.0000"/>
    <numFmt numFmtId="169" formatCode="0.00000"/>
    <numFmt numFmtId="170" formatCode="0.000000"/>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b/>
      <sz val="18"/>
      <color theme="1"/>
      <name val="Calibri"/>
      <family val="2"/>
      <scheme val="minor"/>
    </font>
    <font>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6"/>
      <color theme="1"/>
      <name val="Calibri"/>
      <family val="2"/>
      <scheme val="minor"/>
    </font>
    <font>
      <b/>
      <u/>
      <sz val="16"/>
      <color theme="1"/>
      <name val="Calibri"/>
      <family val="2"/>
      <scheme val="minor"/>
    </font>
    <font>
      <sz val="16"/>
      <color theme="1"/>
      <name val="Calibri"/>
      <family val="2"/>
      <scheme val="minor"/>
    </font>
    <font>
      <sz val="10"/>
      <color theme="1"/>
      <name val="Calibri"/>
      <family val="2"/>
      <scheme val="minor"/>
    </font>
    <font>
      <b/>
      <sz val="8"/>
      <color theme="1"/>
      <name val="Calibri"/>
      <family val="2"/>
      <scheme val="minor"/>
    </font>
    <font>
      <sz val="8"/>
      <color theme="1"/>
      <name val="Calibri"/>
      <family val="2"/>
      <scheme val="minor"/>
    </font>
    <font>
      <b/>
      <sz val="11"/>
      <color indexed="8"/>
      <name val="Calibri"/>
      <family val="2"/>
      <scheme val="minor"/>
    </font>
    <font>
      <sz val="12"/>
      <color theme="1"/>
      <name val="Calibri"/>
      <family val="2"/>
      <scheme val="minor"/>
    </font>
    <font>
      <b/>
      <sz val="12"/>
      <name val="Calibri"/>
      <family val="2"/>
      <scheme val="minor"/>
    </font>
    <font>
      <b/>
      <sz val="14"/>
      <color theme="1"/>
      <name val="Calibri"/>
      <family val="2"/>
      <scheme val="minor"/>
    </font>
    <font>
      <i/>
      <sz val="11"/>
      <color theme="1"/>
      <name val="Calibri"/>
      <family val="2"/>
      <scheme val="minor"/>
    </font>
    <font>
      <sz val="10"/>
      <name val="Arial"/>
      <family val="2"/>
    </font>
    <font>
      <b/>
      <sz val="10"/>
      <name val="Arial"/>
      <family val="2"/>
    </font>
    <font>
      <b/>
      <sz val="8"/>
      <color indexed="81"/>
      <name val="Tahoma"/>
      <family val="2"/>
    </font>
    <font>
      <b/>
      <sz val="9"/>
      <color indexed="81"/>
      <name val="Tahoma"/>
      <family val="2"/>
    </font>
    <font>
      <sz val="9"/>
      <color indexed="81"/>
      <name val="Tahoma"/>
      <family val="2"/>
    </font>
    <font>
      <sz val="8"/>
      <color indexed="81"/>
      <name val="Tahoma"/>
      <family val="2"/>
    </font>
    <font>
      <sz val="8"/>
      <color indexed="81"/>
      <name val="Segoe UI"/>
      <family val="2"/>
    </font>
    <font>
      <sz val="9"/>
      <color indexed="81"/>
      <name val="Segoe UI"/>
      <family val="2"/>
    </font>
    <font>
      <sz val="14"/>
      <color theme="1"/>
      <name val="Calibri"/>
      <family val="2"/>
      <scheme val="minor"/>
    </font>
    <font>
      <b/>
      <sz val="14"/>
      <name val="Calibri"/>
      <family val="2"/>
      <scheme val="minor"/>
    </font>
    <font>
      <sz val="10"/>
      <name val="Arial"/>
      <family val="2"/>
    </font>
  </fonts>
  <fills count="41">
    <fill>
      <patternFill patternType="none"/>
    </fill>
    <fill>
      <patternFill patternType="gray125"/>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CFF"/>
        <bgColor indexed="64"/>
      </patternFill>
    </fill>
  </fills>
  <borders count="66">
    <border>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48">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8" fillId="0" borderId="28" applyNumberFormat="0" applyFill="0" applyAlignment="0" applyProtection="0"/>
    <xf numFmtId="0" fontId="9" fillId="0" borderId="29" applyNumberFormat="0" applyFill="0" applyAlignment="0" applyProtection="0"/>
    <xf numFmtId="0" fontId="10" fillId="0" borderId="30"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31" applyNumberFormat="0" applyAlignment="0" applyProtection="0"/>
    <xf numFmtId="0" fontId="15" fillId="7" borderId="32" applyNumberFormat="0" applyAlignment="0" applyProtection="0"/>
    <xf numFmtId="0" fontId="16" fillId="7" borderId="31" applyNumberFormat="0" applyAlignment="0" applyProtection="0"/>
    <xf numFmtId="0" fontId="17" fillId="0" borderId="33" applyNumberFormat="0" applyFill="0" applyAlignment="0" applyProtection="0"/>
    <xf numFmtId="0" fontId="18" fillId="8" borderId="34" applyNumberFormat="0" applyAlignment="0" applyProtection="0"/>
    <xf numFmtId="0" fontId="19" fillId="0" borderId="0" applyNumberFormat="0" applyFill="0" applyBorder="0" applyAlignment="0" applyProtection="0"/>
    <xf numFmtId="0" fontId="1" fillId="9" borderId="35" applyNumberFormat="0" applyFont="0" applyAlignment="0" applyProtection="0"/>
    <xf numFmtId="0" fontId="20" fillId="0" borderId="0" applyNumberFormat="0" applyFill="0" applyBorder="0" applyAlignment="0" applyProtection="0"/>
    <xf numFmtId="0" fontId="2" fillId="0" borderId="36" applyNumberFormat="0" applyFill="0" applyAlignment="0" applyProtection="0"/>
    <xf numFmtId="0" fontId="2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33" borderId="0" applyNumberFormat="0" applyBorder="0" applyAlignment="0" applyProtection="0"/>
    <xf numFmtId="44" fontId="1" fillId="0" borderId="0" applyFont="0" applyFill="0" applyBorder="0" applyAlignment="0" applyProtection="0"/>
    <xf numFmtId="0" fontId="33" fillId="0" borderId="0"/>
    <xf numFmtId="0" fontId="43" fillId="0" borderId="0"/>
    <xf numFmtId="44" fontId="43" fillId="0" borderId="0" applyFont="0" applyFill="0" applyBorder="0" applyAlignment="0" applyProtection="0"/>
    <xf numFmtId="44" fontId="33" fillId="0" borderId="0" applyFont="0" applyFill="0" applyBorder="0" applyAlignment="0" applyProtection="0"/>
  </cellStyleXfs>
  <cellXfs count="284">
    <xf numFmtId="0" fontId="0" fillId="0" borderId="0" xfId="0"/>
    <xf numFmtId="0" fontId="0" fillId="0" borderId="0" xfId="0" applyFont="1"/>
    <xf numFmtId="0" fontId="0" fillId="0" borderId="0" xfId="0" applyBorder="1"/>
    <xf numFmtId="0" fontId="0" fillId="0" borderId="0" xfId="0" applyBorder="1" applyAlignment="1">
      <alignment horizontal="left"/>
    </xf>
    <xf numFmtId="0" fontId="0" fillId="0" borderId="4" xfId="0" applyBorder="1"/>
    <xf numFmtId="0" fontId="0" fillId="0" borderId="0" xfId="0" applyFont="1" applyBorder="1"/>
    <xf numFmtId="2" fontId="0" fillId="0" borderId="0" xfId="0" applyNumberFormat="1" applyBorder="1"/>
    <xf numFmtId="164" fontId="0" fillId="0" borderId="0" xfId="0" applyNumberFormat="1" applyBorder="1"/>
    <xf numFmtId="0" fontId="0" fillId="0" borderId="6" xfId="0" applyBorder="1"/>
    <xf numFmtId="2" fontId="0" fillId="0" borderId="6" xfId="0" applyNumberFormat="1" applyBorder="1"/>
    <xf numFmtId="2" fontId="0" fillId="0" borderId="10" xfId="0" applyNumberFormat="1" applyBorder="1"/>
    <xf numFmtId="0" fontId="0" fillId="0" borderId="15" xfId="0" applyBorder="1" applyAlignment="1">
      <alignment horizontal="left"/>
    </xf>
    <xf numFmtId="0" fontId="0" fillId="0" borderId="15" xfId="0" applyBorder="1" applyAlignment="1">
      <alignment horizontal="right"/>
    </xf>
    <xf numFmtId="0" fontId="0" fillId="0" borderId="15" xfId="0" applyBorder="1"/>
    <xf numFmtId="0" fontId="0" fillId="0" borderId="16" xfId="0" applyBorder="1"/>
    <xf numFmtId="0" fontId="0" fillId="0" borderId="1" xfId="0" applyBorder="1" applyAlignment="1">
      <alignment horizontal="right"/>
    </xf>
    <xf numFmtId="0" fontId="3" fillId="0" borderId="17" xfId="0" applyFont="1" applyBorder="1"/>
    <xf numFmtId="0" fontId="0" fillId="0" borderId="18" xfId="0" applyBorder="1"/>
    <xf numFmtId="0" fontId="0" fillId="0" borderId="19" xfId="0" applyBorder="1"/>
    <xf numFmtId="0" fontId="2" fillId="0" borderId="20" xfId="0" applyFont="1" applyBorder="1"/>
    <xf numFmtId="0" fontId="0" fillId="0" borderId="21" xfId="0" applyBorder="1"/>
    <xf numFmtId="0" fontId="0" fillId="0" borderId="22" xfId="0" applyBorder="1"/>
    <xf numFmtId="2" fontId="2" fillId="2" borderId="7" xfId="0" applyNumberFormat="1" applyFont="1" applyFill="1" applyBorder="1"/>
    <xf numFmtId="2" fontId="2" fillId="2" borderId="8" xfId="0" applyNumberFormat="1" applyFont="1" applyFill="1" applyBorder="1"/>
    <xf numFmtId="2" fontId="2" fillId="2" borderId="9" xfId="0" applyNumberFormat="1" applyFont="1" applyFill="1" applyBorder="1"/>
    <xf numFmtId="0" fontId="3" fillId="0" borderId="23" xfId="0" applyFont="1" applyBorder="1"/>
    <xf numFmtId="0" fontId="0" fillId="0" borderId="24" xfId="0" applyBorder="1"/>
    <xf numFmtId="0" fontId="0" fillId="0" borderId="25" xfId="0" applyBorder="1" applyAlignment="1">
      <alignment horizontal="left"/>
    </xf>
    <xf numFmtId="0" fontId="0" fillId="0" borderId="26" xfId="0" applyBorder="1"/>
    <xf numFmtId="0" fontId="0" fillId="0" borderId="27" xfId="0" applyBorder="1"/>
    <xf numFmtId="0" fontId="0" fillId="0" borderId="0" xfId="0"/>
    <xf numFmtId="0" fontId="23" fillId="0" borderId="0" xfId="0" applyFont="1"/>
    <xf numFmtId="0" fontId="24" fillId="0" borderId="0" xfId="0" applyFont="1"/>
    <xf numFmtId="0" fontId="0" fillId="0" borderId="0" xfId="0" applyAlignment="1"/>
    <xf numFmtId="2" fontId="2" fillId="2" borderId="41" xfId="0" applyNumberFormat="1" applyFont="1" applyFill="1" applyBorder="1"/>
    <xf numFmtId="0" fontId="0" fillId="0" borderId="42" xfId="0" applyBorder="1"/>
    <xf numFmtId="0" fontId="3" fillId="0" borderId="25" xfId="0" applyFont="1" applyBorder="1"/>
    <xf numFmtId="0" fontId="0" fillId="0" borderId="48" xfId="0" applyBorder="1"/>
    <xf numFmtId="0" fontId="0" fillId="0" borderId="49" xfId="0" applyBorder="1"/>
    <xf numFmtId="2" fontId="0" fillId="0" borderId="48" xfId="0" applyNumberFormat="1" applyBorder="1"/>
    <xf numFmtId="2" fontId="2" fillId="0" borderId="26" xfId="0" applyNumberFormat="1" applyFont="1" applyBorder="1"/>
    <xf numFmtId="0" fontId="4" fillId="0" borderId="37" xfId="0" applyFont="1" applyBorder="1"/>
    <xf numFmtId="0" fontId="0" fillId="0" borderId="51" xfId="0" applyBorder="1"/>
    <xf numFmtId="0" fontId="26" fillId="35" borderId="6" xfId="0" applyFont="1" applyFill="1" applyBorder="1"/>
    <xf numFmtId="1" fontId="0" fillId="0" borderId="26" xfId="0" applyNumberFormat="1" applyBorder="1" applyAlignment="1">
      <alignment horizontal="left"/>
    </xf>
    <xf numFmtId="2" fontId="0" fillId="0" borderId="54" xfId="0" applyNumberFormat="1" applyBorder="1"/>
    <xf numFmtId="2" fontId="0" fillId="0" borderId="26" xfId="0" applyNumberFormat="1" applyBorder="1"/>
    <xf numFmtId="2" fontId="2" fillId="0" borderId="37" xfId="0" applyNumberFormat="1" applyFont="1" applyBorder="1"/>
    <xf numFmtId="2" fontId="2" fillId="0" borderId="51" xfId="0" applyNumberFormat="1" applyFont="1" applyBorder="1"/>
    <xf numFmtId="2" fontId="0" fillId="0" borderId="60" xfId="0" applyNumberFormat="1" applyBorder="1"/>
    <xf numFmtId="0" fontId="3" fillId="0" borderId="20" xfId="0" applyFont="1" applyBorder="1"/>
    <xf numFmtId="1" fontId="2" fillId="0" borderId="23" xfId="0" applyNumberFormat="1" applyFont="1" applyBorder="1" applyAlignment="1">
      <alignment horizontal="left"/>
    </xf>
    <xf numFmtId="1" fontId="0" fillId="0" borderId="27" xfId="0" applyNumberFormat="1" applyBorder="1" applyAlignment="1">
      <alignment horizontal="left"/>
    </xf>
    <xf numFmtId="2" fontId="0" fillId="0" borderId="7" xfId="0" applyNumberFormat="1" applyBorder="1"/>
    <xf numFmtId="2" fontId="0" fillId="0" borderId="57" xfId="0" applyNumberFormat="1" applyBorder="1"/>
    <xf numFmtId="2" fontId="2" fillId="0" borderId="23" xfId="0" applyNumberFormat="1" applyFont="1" applyBorder="1"/>
    <xf numFmtId="2" fontId="0" fillId="0" borderId="27" xfId="0" applyNumberFormat="1" applyBorder="1"/>
    <xf numFmtId="0" fontId="2" fillId="0" borderId="37" xfId="0" applyFont="1" applyBorder="1"/>
    <xf numFmtId="165" fontId="0" fillId="0" borderId="0" xfId="0" applyNumberFormat="1" applyFont="1" applyBorder="1"/>
    <xf numFmtId="0" fontId="0" fillId="0" borderId="0" xfId="0" applyAlignment="1">
      <alignment horizontal="center"/>
    </xf>
    <xf numFmtId="0" fontId="0" fillId="0" borderId="0" xfId="0" applyBorder="1" applyAlignment="1"/>
    <xf numFmtId="0" fontId="0" fillId="0" borderId="42" xfId="0" applyBorder="1" applyAlignment="1">
      <alignment horizontal="left"/>
    </xf>
    <xf numFmtId="0" fontId="0" fillId="0" borderId="42" xfId="0" applyBorder="1" applyAlignment="1">
      <alignment horizontal="right"/>
    </xf>
    <xf numFmtId="0" fontId="0" fillId="0" borderId="43" xfId="0" applyBorder="1" applyAlignment="1">
      <alignment horizontal="right"/>
    </xf>
    <xf numFmtId="0" fontId="0" fillId="0" borderId="41" xfId="0" applyBorder="1" applyAlignment="1">
      <alignment horizontal="left"/>
    </xf>
    <xf numFmtId="0" fontId="0" fillId="0" borderId="58" xfId="0" applyBorder="1"/>
    <xf numFmtId="0" fontId="2" fillId="0" borderId="0" xfId="0" applyFont="1"/>
    <xf numFmtId="44" fontId="2" fillId="0" borderId="0" xfId="43" applyFont="1"/>
    <xf numFmtId="0" fontId="0" fillId="0" borderId="6" xfId="0" applyBorder="1" applyAlignment="1">
      <alignment horizontal="center"/>
    </xf>
    <xf numFmtId="44" fontId="2" fillId="0" borderId="6" xfId="43" applyFont="1" applyBorder="1"/>
    <xf numFmtId="0" fontId="25" fillId="0" borderId="6" xfId="0" applyFont="1" applyBorder="1" applyAlignment="1">
      <alignment horizontal="center" wrapText="1"/>
    </xf>
    <xf numFmtId="0" fontId="25" fillId="0" borderId="6" xfId="0" applyFont="1" applyBorder="1" applyAlignment="1">
      <alignment horizontal="center"/>
    </xf>
    <xf numFmtId="0" fontId="25" fillId="0" borderId="6" xfId="0" applyFont="1" applyBorder="1" applyAlignment="1">
      <alignment wrapText="1"/>
    </xf>
    <xf numFmtId="0" fontId="25" fillId="0" borderId="0" xfId="0" applyFont="1" applyAlignment="1">
      <alignment horizontal="center"/>
    </xf>
    <xf numFmtId="0" fontId="22" fillId="0" borderId="0" xfId="0" applyFont="1"/>
    <xf numFmtId="0" fontId="2" fillId="2" borderId="6" xfId="0" applyFont="1" applyFill="1" applyBorder="1" applyAlignment="1">
      <alignment horizontal="center" vertical="top" wrapText="1"/>
    </xf>
    <xf numFmtId="44" fontId="2" fillId="2" borderId="6" xfId="43" applyFont="1" applyFill="1" applyBorder="1" applyAlignment="1">
      <alignment horizontal="center" vertical="top" wrapText="1"/>
    </xf>
    <xf numFmtId="49" fontId="0" fillId="0" borderId="6" xfId="0" applyNumberFormat="1" applyBorder="1" applyAlignment="1">
      <alignment horizontal="center"/>
    </xf>
    <xf numFmtId="49" fontId="0" fillId="0" borderId="6" xfId="0" quotePrefix="1" applyNumberFormat="1" applyBorder="1" applyAlignment="1">
      <alignment horizontal="center"/>
    </xf>
    <xf numFmtId="0" fontId="2" fillId="2" borderId="6" xfId="0" applyFont="1" applyFill="1" applyBorder="1"/>
    <xf numFmtId="0" fontId="0" fillId="34" borderId="0" xfId="0" applyFill="1"/>
    <xf numFmtId="2" fontId="2" fillId="0" borderId="24" xfId="0" applyNumberFormat="1" applyFont="1" applyBorder="1"/>
    <xf numFmtId="2" fontId="0" fillId="0" borderId="11" xfId="0" applyNumberFormat="1" applyBorder="1"/>
    <xf numFmtId="2" fontId="28" fillId="0" borderId="37" xfId="0" applyNumberFormat="1" applyFont="1" applyBorder="1"/>
    <xf numFmtId="0" fontId="6" fillId="37" borderId="56" xfId="0" applyFont="1" applyFill="1" applyBorder="1" applyAlignment="1">
      <alignment vertical="center"/>
    </xf>
    <xf numFmtId="2" fontId="2" fillId="36" borderId="7" xfId="0" applyNumberFormat="1" applyFont="1" applyFill="1" applyBorder="1"/>
    <xf numFmtId="2" fontId="2" fillId="36" borderId="41" xfId="0" applyNumberFormat="1" applyFont="1" applyFill="1" applyBorder="1"/>
    <xf numFmtId="2" fontId="0" fillId="0" borderId="25" xfId="0" applyNumberFormat="1" applyBorder="1"/>
    <xf numFmtId="2" fontId="0" fillId="0" borderId="49" xfId="0" applyNumberFormat="1" applyBorder="1"/>
    <xf numFmtId="2" fontId="0" fillId="0" borderId="50" xfId="0" applyNumberFormat="1" applyBorder="1"/>
    <xf numFmtId="2" fontId="2" fillId="36" borderId="14" xfId="0" applyNumberFormat="1" applyFont="1" applyFill="1" applyBorder="1"/>
    <xf numFmtId="165" fontId="2" fillId="37" borderId="38" xfId="0" applyNumberFormat="1" applyFont="1" applyFill="1" applyBorder="1" applyAlignment="1">
      <alignment horizontal="right" vertical="top"/>
    </xf>
    <xf numFmtId="0" fontId="29" fillId="0" borderId="0" xfId="0" applyFont="1"/>
    <xf numFmtId="0" fontId="3" fillId="0" borderId="0" xfId="0" applyFont="1"/>
    <xf numFmtId="0" fontId="3" fillId="2" borderId="6" xfId="0" applyFont="1" applyFill="1" applyBorder="1"/>
    <xf numFmtId="0" fontId="2" fillId="2" borderId="42" xfId="0" applyFont="1" applyFill="1" applyBorder="1"/>
    <xf numFmtId="0" fontId="29" fillId="0" borderId="6" xfId="0" applyFont="1" applyBorder="1" applyAlignment="1">
      <alignment vertical="top"/>
    </xf>
    <xf numFmtId="0" fontId="0" fillId="38" borderId="0" xfId="0" applyFill="1"/>
    <xf numFmtId="0" fontId="0" fillId="37" borderId="0" xfId="0" applyFill="1"/>
    <xf numFmtId="0" fontId="29" fillId="0" borderId="42" xfId="0" applyFont="1" applyBorder="1" applyAlignment="1">
      <alignment horizontal="left" vertical="top"/>
    </xf>
    <xf numFmtId="0" fontId="29" fillId="0" borderId="15" xfId="0" applyFont="1" applyBorder="1" applyAlignment="1">
      <alignment horizontal="left" vertical="top"/>
    </xf>
    <xf numFmtId="0" fontId="29" fillId="0" borderId="62" xfId="0" applyFont="1" applyBorder="1" applyAlignment="1">
      <alignment horizontal="left" vertical="top"/>
    </xf>
    <xf numFmtId="0" fontId="0" fillId="0" borderId="0" xfId="0" applyAlignment="1">
      <alignment wrapText="1"/>
    </xf>
    <xf numFmtId="165" fontId="27" fillId="37" borderId="6" xfId="0" applyNumberFormat="1" applyFont="1" applyFill="1" applyBorder="1"/>
    <xf numFmtId="165" fontId="26" fillId="37" borderId="6" xfId="0" applyNumberFormat="1" applyFont="1" applyFill="1" applyBorder="1"/>
    <xf numFmtId="165" fontId="2" fillId="37" borderId="51" xfId="0" applyNumberFormat="1" applyFont="1" applyFill="1" applyBorder="1" applyAlignment="1">
      <alignment horizontal="right" vertical="top"/>
    </xf>
    <xf numFmtId="165" fontId="0" fillId="37" borderId="51" xfId="0" applyNumberFormat="1" applyFill="1" applyBorder="1" applyAlignment="1">
      <alignment horizontal="right" vertical="top"/>
    </xf>
    <xf numFmtId="0" fontId="2" fillId="35" borderId="0" xfId="0" applyFont="1" applyFill="1"/>
    <xf numFmtId="0" fontId="0" fillId="35" borderId="0" xfId="0" applyFill="1"/>
    <xf numFmtId="0" fontId="0" fillId="35" borderId="0" xfId="0" applyFill="1" applyAlignment="1">
      <alignment vertical="center"/>
    </xf>
    <xf numFmtId="165" fontId="0" fillId="35" borderId="0" xfId="0" applyNumberFormat="1" applyFill="1" applyAlignment="1">
      <alignment vertical="center"/>
    </xf>
    <xf numFmtId="8" fontId="0" fillId="35" borderId="4" xfId="0" applyNumberFormat="1" applyFill="1" applyBorder="1" applyAlignment="1">
      <alignment vertical="center"/>
    </xf>
    <xf numFmtId="8" fontId="0" fillId="35" borderId="0" xfId="0" applyNumberFormat="1" applyFill="1" applyAlignment="1">
      <alignment vertical="center"/>
    </xf>
    <xf numFmtId="0" fontId="32" fillId="0" borderId="0" xfId="0" applyFont="1"/>
    <xf numFmtId="0" fontId="2" fillId="35" borderId="0" xfId="0" quotePrefix="1" applyFont="1" applyFill="1"/>
    <xf numFmtId="165" fontId="0" fillId="35" borderId="0" xfId="0" applyNumberFormat="1" applyFill="1"/>
    <xf numFmtId="0" fontId="34" fillId="0" borderId="0" xfId="44" applyFont="1"/>
    <xf numFmtId="0" fontId="34" fillId="0" borderId="0" xfId="44" applyFont="1" applyAlignment="1">
      <alignment horizontal="right"/>
    </xf>
    <xf numFmtId="0" fontId="33" fillId="0" borderId="0" xfId="44"/>
    <xf numFmtId="166" fontId="33" fillId="0" borderId="0" xfId="44" applyNumberFormat="1"/>
    <xf numFmtId="2" fontId="33" fillId="0" borderId="0" xfId="44" applyNumberFormat="1"/>
    <xf numFmtId="167" fontId="33" fillId="0" borderId="0" xfId="44" applyNumberFormat="1"/>
    <xf numFmtId="168" fontId="33" fillId="0" borderId="0" xfId="44" applyNumberFormat="1"/>
    <xf numFmtId="169" fontId="33" fillId="0" borderId="0" xfId="44" applyNumberFormat="1"/>
    <xf numFmtId="170" fontId="33" fillId="0" borderId="0" xfId="44" applyNumberFormat="1"/>
    <xf numFmtId="1" fontId="33" fillId="0" borderId="0" xfId="44" applyNumberFormat="1"/>
    <xf numFmtId="0" fontId="33" fillId="34" borderId="0" xfId="44" applyFill="1"/>
    <xf numFmtId="165" fontId="0" fillId="37" borderId="12" xfId="0" applyNumberFormat="1" applyFill="1" applyBorder="1" applyAlignment="1">
      <alignment vertical="top"/>
    </xf>
    <xf numFmtId="2" fontId="0" fillId="0" borderId="0" xfId="0" applyNumberFormat="1"/>
    <xf numFmtId="0" fontId="31" fillId="0" borderId="46" xfId="0" applyFont="1" applyBorder="1"/>
    <xf numFmtId="0" fontId="41" fillId="0" borderId="53" xfId="0" applyFont="1" applyBorder="1"/>
    <xf numFmtId="0" fontId="41" fillId="0" borderId="40" xfId="0" applyFont="1" applyBorder="1"/>
    <xf numFmtId="0" fontId="41" fillId="0" borderId="44" xfId="0" applyFont="1" applyBorder="1"/>
    <xf numFmtId="0" fontId="41" fillId="0" borderId="0" xfId="0" applyFont="1" applyBorder="1"/>
    <xf numFmtId="0" fontId="41" fillId="0" borderId="39" xfId="0" applyFont="1" applyBorder="1"/>
    <xf numFmtId="0" fontId="0" fillId="0" borderId="0" xfId="0" applyAlignment="1">
      <alignment horizontal="left"/>
    </xf>
    <xf numFmtId="0" fontId="29" fillId="0" borderId="0" xfId="0" applyFont="1" applyAlignment="1">
      <alignment horizontal="left" vertical="center" wrapText="1"/>
    </xf>
    <xf numFmtId="0" fontId="6" fillId="38" borderId="6" xfId="0" applyFont="1" applyFill="1" applyBorder="1" applyAlignment="1" applyProtection="1">
      <alignment vertical="center"/>
      <protection locked="0"/>
    </xf>
    <xf numFmtId="165" fontId="0" fillId="38" borderId="42" xfId="0" applyNumberFormat="1" applyFill="1" applyBorder="1" applyAlignment="1" applyProtection="1">
      <alignment vertical="top"/>
      <protection locked="0"/>
    </xf>
    <xf numFmtId="2" fontId="0" fillId="38" borderId="6" xfId="1" applyNumberFormat="1" applyFont="1" applyFill="1" applyBorder="1" applyProtection="1">
      <protection locked="0"/>
    </xf>
    <xf numFmtId="2" fontId="0" fillId="38" borderId="6" xfId="0" applyNumberFormat="1" applyFill="1" applyBorder="1" applyProtection="1">
      <protection locked="0"/>
    </xf>
    <xf numFmtId="166" fontId="0" fillId="38" borderId="6" xfId="0" applyNumberFormat="1" applyFill="1" applyBorder="1" applyProtection="1">
      <protection locked="0"/>
    </xf>
    <xf numFmtId="0" fontId="33" fillId="0" borderId="0" xfId="44"/>
    <xf numFmtId="0" fontId="33" fillId="34" borderId="0" xfId="44" applyFill="1" applyAlignment="1">
      <alignment horizontal="center" vertical="top" wrapText="1"/>
    </xf>
    <xf numFmtId="0" fontId="0" fillId="0" borderId="0" xfId="0" applyProtection="1"/>
    <xf numFmtId="0" fontId="33" fillId="0" borderId="0" xfId="44" applyFill="1"/>
    <xf numFmtId="0" fontId="33" fillId="40" borderId="0" xfId="44" applyFill="1"/>
    <xf numFmtId="0" fontId="33" fillId="40" borderId="0" xfId="44" applyFill="1" applyAlignment="1">
      <alignment horizontal="center" vertical="top" wrapText="1"/>
    </xf>
    <xf numFmtId="3" fontId="33" fillId="0" borderId="0" xfId="44" applyNumberFormat="1" applyFill="1"/>
    <xf numFmtId="0" fontId="0" fillId="0" borderId="0" xfId="0" quotePrefix="1"/>
    <xf numFmtId="0" fontId="0" fillId="0" borderId="0" xfId="0" quotePrefix="1" applyAlignment="1">
      <alignment horizontal="right"/>
    </xf>
    <xf numFmtId="0" fontId="33" fillId="0" borderId="0" xfId="0" applyFont="1" applyProtection="1"/>
    <xf numFmtId="0" fontId="0" fillId="0" borderId="0" xfId="0" applyFont="1" applyProtection="1"/>
    <xf numFmtId="0" fontId="34" fillId="0" borderId="0" xfId="0" applyFont="1" applyProtection="1"/>
    <xf numFmtId="2" fontId="34" fillId="0" borderId="0" xfId="0" applyNumberFormat="1" applyFont="1" applyProtection="1"/>
    <xf numFmtId="2" fontId="33" fillId="0" borderId="0" xfId="0" applyNumberFormat="1" applyFont="1" applyProtection="1"/>
    <xf numFmtId="165" fontId="2" fillId="37" borderId="38" xfId="0" applyNumberFormat="1" applyFont="1" applyFill="1" applyBorder="1" applyAlignment="1">
      <alignment horizontal="right" vertical="top"/>
    </xf>
    <xf numFmtId="165" fontId="2" fillId="37" borderId="51" xfId="0" applyNumberFormat="1" applyFont="1" applyFill="1" applyBorder="1" applyAlignment="1">
      <alignment horizontal="right" vertical="top"/>
    </xf>
    <xf numFmtId="0" fontId="33" fillId="40" borderId="0" xfId="44" applyFont="1" applyFill="1"/>
    <xf numFmtId="0" fontId="0" fillId="34" borderId="0" xfId="0" applyFill="1" applyAlignment="1">
      <alignment vertical="center"/>
    </xf>
    <xf numFmtId="0" fontId="0" fillId="0" borderId="0" xfId="0" applyAlignment="1">
      <alignment vertical="center"/>
    </xf>
    <xf numFmtId="44" fontId="0" fillId="37" borderId="0" xfId="43" applyFont="1" applyFill="1" applyAlignment="1">
      <alignment vertical="center"/>
    </xf>
    <xf numFmtId="44" fontId="0" fillId="0" borderId="0" xfId="43" applyFont="1" applyAlignment="1">
      <alignment vertical="center"/>
    </xf>
    <xf numFmtId="44" fontId="0" fillId="37" borderId="0" xfId="0" applyNumberFormat="1" applyFill="1" applyAlignment="1">
      <alignment vertical="center"/>
    </xf>
    <xf numFmtId="0" fontId="41" fillId="0" borderId="44" xfId="0" applyFont="1" applyBorder="1" applyAlignment="1">
      <alignment horizontal="left" vertical="top" wrapText="1"/>
    </xf>
    <xf numFmtId="0" fontId="41" fillId="0" borderId="0" xfId="0" applyFont="1" applyBorder="1" applyAlignment="1">
      <alignment horizontal="left" vertical="top" wrapText="1"/>
    </xf>
    <xf numFmtId="0" fontId="41" fillId="0" borderId="39" xfId="0" applyFont="1" applyBorder="1" applyAlignment="1">
      <alignment horizontal="left" vertical="top" wrapText="1"/>
    </xf>
    <xf numFmtId="0" fontId="41" fillId="0" borderId="43" xfId="0" applyFont="1" applyBorder="1" applyAlignment="1">
      <alignment horizontal="left" wrapText="1"/>
    </xf>
    <xf numFmtId="0" fontId="41" fillId="0" borderId="1" xfId="0" applyFont="1" applyBorder="1" applyAlignment="1">
      <alignment horizontal="left" wrapText="1"/>
    </xf>
    <xf numFmtId="0" fontId="41" fillId="0" borderId="55" xfId="0" applyFont="1" applyBorder="1" applyAlignment="1">
      <alignment horizontal="left" wrapText="1"/>
    </xf>
    <xf numFmtId="0" fontId="41" fillId="0" borderId="42" xfId="0" applyFont="1" applyBorder="1" applyAlignment="1">
      <alignment horizontal="left" wrapText="1"/>
    </xf>
    <xf numFmtId="0" fontId="41" fillId="0" borderId="15" xfId="0" applyFont="1" applyBorder="1" applyAlignment="1">
      <alignment horizontal="left" wrapText="1"/>
    </xf>
    <xf numFmtId="0" fontId="41" fillId="0" borderId="62" xfId="0" applyFont="1" applyBorder="1" applyAlignment="1">
      <alignment horizontal="left" wrapText="1"/>
    </xf>
    <xf numFmtId="0" fontId="0" fillId="0" borderId="0" xfId="0" applyAlignment="1">
      <alignment horizontal="left" wrapText="1"/>
    </xf>
    <xf numFmtId="0" fontId="22" fillId="39" borderId="0" xfId="0" applyFont="1" applyFill="1" applyAlignment="1">
      <alignment horizontal="left"/>
    </xf>
    <xf numFmtId="0" fontId="29" fillId="0" borderId="0" xfId="0" applyFont="1" applyAlignment="1">
      <alignment horizontal="left" vertical="center" wrapText="1"/>
    </xf>
    <xf numFmtId="0" fontId="2" fillId="2" borderId="6" xfId="0" applyFont="1" applyFill="1" applyBorder="1" applyAlignment="1">
      <alignment horizontal="left"/>
    </xf>
    <xf numFmtId="0" fontId="0" fillId="2" borderId="15" xfId="0" applyFill="1" applyBorder="1" applyAlignment="1">
      <alignment horizontal="center"/>
    </xf>
    <xf numFmtId="0" fontId="0" fillId="2" borderId="62" xfId="0" applyFill="1" applyBorder="1" applyAlignment="1">
      <alignment horizontal="center"/>
    </xf>
    <xf numFmtId="0" fontId="29" fillId="0" borderId="42" xfId="0" applyFont="1" applyBorder="1" applyAlignment="1">
      <alignment horizontal="left" vertical="top"/>
    </xf>
    <xf numFmtId="0" fontId="29" fillId="0" borderId="15" xfId="0" applyFont="1" applyBorder="1" applyAlignment="1">
      <alignment horizontal="left" vertical="top"/>
    </xf>
    <xf numFmtId="0" fontId="29" fillId="0" borderId="62" xfId="0" applyFont="1" applyBorder="1" applyAlignment="1">
      <alignment horizontal="left" vertical="top"/>
    </xf>
    <xf numFmtId="0" fontId="29" fillId="0" borderId="42" xfId="0" applyFont="1" applyBorder="1" applyAlignment="1">
      <alignment horizontal="left" vertical="top" wrapText="1"/>
    </xf>
    <xf numFmtId="0" fontId="29" fillId="0" borderId="62" xfId="0" applyFont="1" applyBorder="1" applyAlignment="1">
      <alignment horizontal="left" vertical="top" wrapText="1"/>
    </xf>
    <xf numFmtId="0" fontId="42" fillId="34" borderId="0" xfId="0" applyFont="1" applyFill="1" applyAlignment="1">
      <alignment horizontal="left" wrapText="1"/>
    </xf>
    <xf numFmtId="0" fontId="31" fillId="34" borderId="63" xfId="0" applyFont="1" applyFill="1" applyBorder="1" applyAlignment="1">
      <alignment horizontal="center" vertical="center" wrapText="1"/>
    </xf>
    <xf numFmtId="0" fontId="31" fillId="34" borderId="64" xfId="0" applyFont="1" applyFill="1" applyBorder="1" applyAlignment="1">
      <alignment horizontal="center" vertical="center" wrapText="1"/>
    </xf>
    <xf numFmtId="0" fontId="31" fillId="34" borderId="65" xfId="0" applyFont="1" applyFill="1" applyBorder="1" applyAlignment="1">
      <alignment horizontal="center" vertical="center" wrapText="1"/>
    </xf>
    <xf numFmtId="0" fontId="31" fillId="38" borderId="0" xfId="0" applyFont="1" applyFill="1" applyAlignment="1">
      <alignment horizontal="left"/>
    </xf>
    <xf numFmtId="0" fontId="42" fillId="37" borderId="0" xfId="0" applyFont="1" applyFill="1" applyAlignment="1">
      <alignment horizontal="left"/>
    </xf>
    <xf numFmtId="0" fontId="29" fillId="0" borderId="15" xfId="0" applyFont="1" applyBorder="1" applyAlignment="1">
      <alignment horizontal="left" vertical="top" wrapText="1"/>
    </xf>
    <xf numFmtId="8" fontId="2" fillId="37" borderId="45" xfId="1" applyNumberFormat="1" applyFont="1" applyFill="1" applyBorder="1" applyAlignment="1">
      <alignment horizontal="right" vertical="top"/>
    </xf>
    <xf numFmtId="8" fontId="2" fillId="37" borderId="38" xfId="1" applyNumberFormat="1" applyFont="1" applyFill="1" applyBorder="1" applyAlignment="1">
      <alignment horizontal="right" vertical="top"/>
    </xf>
    <xf numFmtId="165" fontId="0" fillId="37" borderId="42" xfId="0" applyNumberFormat="1" applyFill="1" applyBorder="1" applyAlignment="1">
      <alignment horizontal="right" vertical="top"/>
    </xf>
    <xf numFmtId="165" fontId="0" fillId="37" borderId="12" xfId="0" applyNumberFormat="1" applyFill="1" applyBorder="1" applyAlignment="1">
      <alignment horizontal="right" vertical="top"/>
    </xf>
    <xf numFmtId="165" fontId="0" fillId="37" borderId="46" xfId="0" applyNumberFormat="1" applyFill="1" applyBorder="1" applyAlignment="1">
      <alignment horizontal="right" vertical="top"/>
    </xf>
    <xf numFmtId="165" fontId="0" fillId="37" borderId="59" xfId="0" applyNumberFormat="1" applyFill="1" applyBorder="1" applyAlignment="1">
      <alignment horizontal="right" vertical="top"/>
    </xf>
    <xf numFmtId="165" fontId="0" fillId="37" borderId="43" xfId="0" applyNumberFormat="1" applyFill="1" applyBorder="1" applyAlignment="1">
      <alignment horizontal="right" vertical="top"/>
    </xf>
    <xf numFmtId="165" fontId="0" fillId="37" borderId="61" xfId="0" applyNumberFormat="1" applyFill="1" applyBorder="1" applyAlignment="1">
      <alignment horizontal="right" vertical="top"/>
    </xf>
    <xf numFmtId="165" fontId="2" fillId="37" borderId="45" xfId="0" applyNumberFormat="1" applyFont="1" applyFill="1" applyBorder="1" applyAlignment="1">
      <alignment horizontal="right" vertical="top"/>
    </xf>
    <xf numFmtId="165" fontId="2" fillId="37" borderId="38" xfId="0" applyNumberFormat="1" applyFont="1" applyFill="1" applyBorder="1" applyAlignment="1">
      <alignment horizontal="right" vertical="top"/>
    </xf>
    <xf numFmtId="0" fontId="5" fillId="0" borderId="0" xfId="0" applyFont="1" applyAlignment="1">
      <alignment horizontal="center" vertical="center"/>
    </xf>
    <xf numFmtId="0" fontId="0" fillId="11" borderId="0" xfId="20" applyFont="1" applyBorder="1" applyAlignment="1">
      <alignment horizontal="left" vertical="center"/>
    </xf>
    <xf numFmtId="165" fontId="0" fillId="37" borderId="41" xfId="0" applyNumberFormat="1" applyFill="1" applyBorder="1" applyAlignment="1">
      <alignment horizontal="right" vertical="top"/>
    </xf>
    <xf numFmtId="165" fontId="0" fillId="37" borderId="14" xfId="0" applyNumberFormat="1" applyFill="1" applyBorder="1" applyAlignment="1">
      <alignment horizontal="right" vertical="top"/>
    </xf>
    <xf numFmtId="165" fontId="0" fillId="37" borderId="58" xfId="0" applyNumberFormat="1" applyFill="1" applyBorder="1" applyAlignment="1">
      <alignment horizontal="right" vertical="top"/>
    </xf>
    <xf numFmtId="165" fontId="0" fillId="37" borderId="13" xfId="0" applyNumberFormat="1" applyFill="1" applyBorder="1" applyAlignment="1">
      <alignment horizontal="right" vertical="top"/>
    </xf>
    <xf numFmtId="165" fontId="2" fillId="37" borderId="47" xfId="0" applyNumberFormat="1" applyFont="1" applyFill="1" applyBorder="1" applyAlignment="1">
      <alignment horizontal="right" vertical="top"/>
    </xf>
    <xf numFmtId="165" fontId="2" fillId="37" borderId="2" xfId="0" applyNumberFormat="1" applyFont="1" applyFill="1" applyBorder="1" applyAlignment="1">
      <alignment horizontal="right" vertical="top"/>
    </xf>
    <xf numFmtId="0" fontId="0" fillId="38" borderId="23" xfId="0" applyFill="1" applyBorder="1" applyAlignment="1" applyProtection="1">
      <alignment horizontal="left" vertical="top"/>
      <protection locked="0"/>
    </xf>
    <xf numFmtId="0" fontId="0" fillId="38" borderId="24" xfId="0" applyFill="1" applyBorder="1" applyAlignment="1" applyProtection="1">
      <alignment horizontal="left" vertical="top"/>
      <protection locked="0"/>
    </xf>
    <xf numFmtId="0" fontId="0" fillId="38" borderId="2" xfId="0" applyFill="1" applyBorder="1" applyAlignment="1" applyProtection="1">
      <alignment horizontal="left" vertical="top"/>
      <protection locked="0"/>
    </xf>
    <xf numFmtId="0" fontId="0" fillId="38" borderId="26" xfId="0" applyFill="1" applyBorder="1" applyAlignment="1" applyProtection="1">
      <alignment horizontal="left" vertical="top"/>
      <protection locked="0"/>
    </xf>
    <xf numFmtId="0" fontId="0" fillId="38" borderId="0" xfId="0" applyFill="1" applyBorder="1" applyAlignment="1" applyProtection="1">
      <alignment horizontal="left" vertical="top"/>
      <protection locked="0"/>
    </xf>
    <xf numFmtId="0" fontId="0" fillId="38" borderId="3" xfId="0" applyFill="1" applyBorder="1" applyAlignment="1" applyProtection="1">
      <alignment horizontal="left" vertical="top"/>
      <protection locked="0"/>
    </xf>
    <xf numFmtId="0" fontId="0" fillId="38" borderId="27" xfId="0" applyFill="1" applyBorder="1" applyAlignment="1" applyProtection="1">
      <alignment horizontal="left" vertical="top"/>
      <protection locked="0"/>
    </xf>
    <xf numFmtId="0" fontId="0" fillId="38" borderId="4" xfId="0" applyFill="1" applyBorder="1" applyAlignment="1" applyProtection="1">
      <alignment horizontal="left" vertical="top"/>
      <protection locked="0"/>
    </xf>
    <xf numFmtId="0" fontId="0" fillId="38" borderId="5" xfId="0" applyFill="1" applyBorder="1" applyAlignment="1" applyProtection="1">
      <alignment horizontal="left" vertical="top"/>
      <protection locked="0"/>
    </xf>
    <xf numFmtId="165" fontId="2" fillId="37" borderId="45" xfId="0" applyNumberFormat="1" applyFont="1" applyFill="1" applyBorder="1" applyAlignment="1">
      <alignment vertical="top"/>
    </xf>
    <xf numFmtId="165" fontId="2" fillId="37" borderId="38" xfId="0" applyNumberFormat="1" applyFont="1" applyFill="1" applyBorder="1" applyAlignment="1">
      <alignment vertical="top"/>
    </xf>
    <xf numFmtId="0" fontId="0" fillId="37" borderId="46" xfId="0" applyFill="1" applyBorder="1" applyAlignment="1">
      <alignment horizontal="center" vertical="center"/>
    </xf>
    <xf numFmtId="0" fontId="0" fillId="37" borderId="53" xfId="0" applyFill="1" applyBorder="1" applyAlignment="1">
      <alignment horizontal="center" vertical="center"/>
    </xf>
    <xf numFmtId="0" fontId="0" fillId="37" borderId="40" xfId="0" applyFill="1" applyBorder="1" applyAlignment="1">
      <alignment horizontal="center" vertical="center"/>
    </xf>
    <xf numFmtId="0" fontId="0" fillId="37" borderId="44" xfId="0" applyFill="1" applyBorder="1" applyAlignment="1">
      <alignment horizontal="center" vertical="center"/>
    </xf>
    <xf numFmtId="0" fontId="0" fillId="37" borderId="0" xfId="0" applyFill="1" applyBorder="1" applyAlignment="1">
      <alignment horizontal="center" vertical="center"/>
    </xf>
    <xf numFmtId="0" fontId="0" fillId="37" borderId="39" xfId="0" applyFill="1" applyBorder="1" applyAlignment="1">
      <alignment horizontal="center" vertical="center"/>
    </xf>
    <xf numFmtId="0" fontId="0" fillId="37" borderId="43" xfId="0" applyFill="1" applyBorder="1" applyAlignment="1">
      <alignment horizontal="center" vertical="center"/>
    </xf>
    <xf numFmtId="0" fontId="0" fillId="37" borderId="1" xfId="0" applyFill="1" applyBorder="1" applyAlignment="1">
      <alignment horizontal="center" vertical="center"/>
    </xf>
    <xf numFmtId="0" fontId="0" fillId="37" borderId="55" xfId="0" applyFill="1" applyBorder="1" applyAlignment="1">
      <alignment horizontal="center" vertical="center"/>
    </xf>
    <xf numFmtId="0" fontId="0" fillId="37" borderId="24" xfId="0" applyFill="1" applyBorder="1" applyAlignment="1">
      <alignment horizontal="center" vertical="center"/>
    </xf>
    <xf numFmtId="0" fontId="0" fillId="37" borderId="2" xfId="0" applyFill="1" applyBorder="1" applyAlignment="1">
      <alignment horizontal="center" vertical="center"/>
    </xf>
    <xf numFmtId="0" fontId="0" fillId="37" borderId="3" xfId="0" applyFill="1" applyBorder="1" applyAlignment="1">
      <alignment horizontal="center" vertical="center"/>
    </xf>
    <xf numFmtId="0" fontId="0" fillId="37" borderId="4" xfId="0" applyFill="1" applyBorder="1" applyAlignment="1">
      <alignment horizontal="center" vertical="center"/>
    </xf>
    <xf numFmtId="0" fontId="0" fillId="37" borderId="5" xfId="0" applyFill="1" applyBorder="1" applyAlignment="1">
      <alignment horizontal="center" vertical="center"/>
    </xf>
    <xf numFmtId="0" fontId="0" fillId="34" borderId="0" xfId="0" applyFill="1" applyAlignment="1">
      <alignment horizontal="center" vertical="center" wrapText="1"/>
    </xf>
    <xf numFmtId="0" fontId="0" fillId="37" borderId="23" xfId="0" applyFill="1" applyBorder="1" applyAlignment="1">
      <alignment horizontal="left" vertical="center"/>
    </xf>
    <xf numFmtId="0" fontId="0" fillId="37" borderId="24" xfId="0" applyFill="1" applyBorder="1" applyAlignment="1">
      <alignment horizontal="left" vertical="center"/>
    </xf>
    <xf numFmtId="0" fontId="0" fillId="37" borderId="2" xfId="0" applyFill="1" applyBorder="1" applyAlignment="1">
      <alignment horizontal="left" vertical="center"/>
    </xf>
    <xf numFmtId="0" fontId="0" fillId="37" borderId="26" xfId="0" applyFill="1" applyBorder="1" applyAlignment="1">
      <alignment horizontal="left" vertical="center"/>
    </xf>
    <xf numFmtId="0" fontId="0" fillId="37" borderId="0" xfId="0" applyFill="1" applyBorder="1" applyAlignment="1">
      <alignment horizontal="left" vertical="center"/>
    </xf>
    <xf numFmtId="0" fontId="0" fillId="37" borderId="3" xfId="0" applyFill="1" applyBorder="1" applyAlignment="1">
      <alignment horizontal="left" vertical="center"/>
    </xf>
    <xf numFmtId="0" fontId="0" fillId="37" borderId="27" xfId="0" applyFill="1" applyBorder="1" applyAlignment="1">
      <alignment horizontal="left" vertical="center"/>
    </xf>
    <xf numFmtId="0" fontId="0" fillId="37" borderId="4" xfId="0" applyFill="1" applyBorder="1" applyAlignment="1">
      <alignment horizontal="left" vertical="center"/>
    </xf>
    <xf numFmtId="0" fontId="0" fillId="37" borderId="5" xfId="0" applyFill="1" applyBorder="1" applyAlignment="1">
      <alignment horizontal="left" vertical="center"/>
    </xf>
    <xf numFmtId="0" fontId="0" fillId="0" borderId="6" xfId="0" applyBorder="1" applyAlignment="1">
      <alignment horizontal="left" vertical="center" wrapText="1"/>
    </xf>
    <xf numFmtId="0" fontId="2" fillId="2" borderId="6" xfId="0" applyFont="1" applyFill="1" applyBorder="1" applyAlignment="1">
      <alignment horizontal="left" vertical="top"/>
    </xf>
    <xf numFmtId="0" fontId="2" fillId="0" borderId="6" xfId="0" applyFont="1" applyBorder="1" applyAlignment="1">
      <alignment horizontal="left" vertical="center" wrapText="1"/>
    </xf>
    <xf numFmtId="0" fontId="25" fillId="0" borderId="6" xfId="0" applyFont="1" applyBorder="1" applyAlignment="1">
      <alignment horizontal="left" vertical="top" wrapText="1"/>
    </xf>
    <xf numFmtId="0" fontId="2" fillId="0" borderId="6" xfId="0" applyFont="1" applyBorder="1" applyAlignment="1">
      <alignment horizontal="left"/>
    </xf>
    <xf numFmtId="14" fontId="0" fillId="38" borderId="16" xfId="0" applyNumberFormat="1" applyFill="1" applyBorder="1" applyAlignment="1" applyProtection="1">
      <alignment horizontal="right"/>
      <protection locked="0"/>
    </xf>
    <xf numFmtId="14" fontId="0" fillId="38" borderId="13" xfId="0" applyNumberFormat="1" applyFill="1" applyBorder="1" applyAlignment="1" applyProtection="1">
      <alignment horizontal="right"/>
      <protection locked="0"/>
    </xf>
    <xf numFmtId="0" fontId="0" fillId="11" borderId="0" xfId="20" applyFont="1" applyAlignment="1">
      <alignment horizontal="left" vertical="center"/>
    </xf>
    <xf numFmtId="0" fontId="0" fillId="34" borderId="0" xfId="0" applyFill="1" applyAlignment="1">
      <alignment horizontal="left"/>
    </xf>
    <xf numFmtId="0" fontId="0" fillId="0" borderId="0" xfId="0" applyBorder="1" applyAlignment="1">
      <alignment horizontal="center"/>
    </xf>
    <xf numFmtId="2" fontId="0" fillId="0" borderId="0" xfId="0" applyNumberFormat="1" applyBorder="1" applyAlignment="1">
      <alignment horizontal="center"/>
    </xf>
    <xf numFmtId="165" fontId="2" fillId="37" borderId="51" xfId="0" applyNumberFormat="1" applyFont="1" applyFill="1" applyBorder="1" applyAlignment="1">
      <alignment horizontal="right" vertical="top"/>
    </xf>
    <xf numFmtId="8" fontId="2" fillId="37" borderId="51" xfId="1" applyNumberFormat="1" applyFont="1" applyFill="1" applyBorder="1" applyAlignment="1">
      <alignment horizontal="right" vertical="top"/>
    </xf>
    <xf numFmtId="0" fontId="0" fillId="38" borderId="23" xfId="0" applyFill="1" applyBorder="1" applyAlignment="1">
      <alignment horizontal="left"/>
    </xf>
    <xf numFmtId="0" fontId="0" fillId="38" borderId="24" xfId="0" applyFill="1" applyBorder="1" applyAlignment="1">
      <alignment horizontal="left"/>
    </xf>
    <xf numFmtId="0" fontId="0" fillId="38" borderId="2" xfId="0" applyFill="1" applyBorder="1" applyAlignment="1">
      <alignment horizontal="left"/>
    </xf>
    <xf numFmtId="0" fontId="0" fillId="38" borderId="26" xfId="0" applyFill="1" applyBorder="1" applyAlignment="1" applyProtection="1">
      <alignment horizontal="left"/>
      <protection locked="0"/>
    </xf>
    <xf numFmtId="0" fontId="0" fillId="38" borderId="0" xfId="0" applyFill="1" applyBorder="1" applyAlignment="1" applyProtection="1">
      <alignment horizontal="left"/>
      <protection locked="0"/>
    </xf>
    <xf numFmtId="0" fontId="0" fillId="38" borderId="3" xfId="0" applyFill="1" applyBorder="1" applyAlignment="1" applyProtection="1">
      <alignment horizontal="left"/>
      <protection locked="0"/>
    </xf>
    <xf numFmtId="165" fontId="2" fillId="37" borderId="24" xfId="0" applyNumberFormat="1" applyFont="1" applyFill="1" applyBorder="1" applyAlignment="1">
      <alignment horizontal="right" vertical="top"/>
    </xf>
    <xf numFmtId="165" fontId="0" fillId="38" borderId="42" xfId="0" applyNumberFormat="1" applyFill="1" applyBorder="1" applyAlignment="1" applyProtection="1">
      <alignment horizontal="right" vertical="top"/>
      <protection locked="0"/>
    </xf>
    <xf numFmtId="165" fontId="0" fillId="38" borderId="12" xfId="0" applyNumberFormat="1" applyFill="1" applyBorder="1" applyAlignment="1" applyProtection="1">
      <alignment horizontal="right" vertical="top"/>
      <protection locked="0"/>
    </xf>
    <xf numFmtId="165" fontId="0" fillId="38" borderId="46" xfId="0" applyNumberFormat="1" applyFill="1" applyBorder="1" applyAlignment="1" applyProtection="1">
      <alignment horizontal="right" vertical="top"/>
      <protection locked="0"/>
    </xf>
    <xf numFmtId="165" fontId="0" fillId="38" borderId="59" xfId="0" applyNumberFormat="1" applyFill="1" applyBorder="1" applyAlignment="1" applyProtection="1">
      <alignment horizontal="right" vertical="top"/>
      <protection locked="0"/>
    </xf>
    <xf numFmtId="0" fontId="0" fillId="38" borderId="52" xfId="0" applyFill="1" applyBorder="1" applyAlignment="1" applyProtection="1">
      <alignment horizontal="right"/>
      <protection locked="0"/>
    </xf>
    <xf numFmtId="0" fontId="0" fillId="38" borderId="14" xfId="0" applyFill="1" applyBorder="1" applyAlignment="1" applyProtection="1">
      <alignment horizontal="right"/>
      <protection locked="0"/>
    </xf>
    <xf numFmtId="0" fontId="0" fillId="38" borderId="15" xfId="0" applyFill="1" applyBorder="1" applyAlignment="1" applyProtection="1">
      <alignment horizontal="right"/>
      <protection locked="0"/>
    </xf>
    <xf numFmtId="0" fontId="0" fillId="38" borderId="12" xfId="0" applyFill="1" applyBorder="1" applyAlignment="1" applyProtection="1">
      <alignment horizontal="right"/>
      <protection locked="0"/>
    </xf>
    <xf numFmtId="14" fontId="0" fillId="38" borderId="15" xfId="0" applyNumberFormat="1" applyFill="1" applyBorder="1" applyAlignment="1" applyProtection="1">
      <alignment horizontal="right"/>
      <protection locked="0"/>
    </xf>
    <xf numFmtId="14" fontId="0" fillId="38" borderId="12" xfId="0" applyNumberFormat="1" applyFill="1" applyBorder="1" applyAlignment="1" applyProtection="1">
      <alignment horizontal="right"/>
      <protection locked="0"/>
    </xf>
    <xf numFmtId="0" fontId="1" fillId="11" borderId="0" xfId="20" applyAlignment="1">
      <alignment horizontal="left" vertical="center"/>
    </xf>
    <xf numFmtId="0" fontId="0" fillId="38" borderId="15" xfId="0" applyFont="1" applyFill="1" applyBorder="1" applyAlignment="1" applyProtection="1">
      <alignment horizontal="right"/>
      <protection locked="0"/>
    </xf>
    <xf numFmtId="0" fontId="0" fillId="38" borderId="12" xfId="0" applyFont="1" applyFill="1" applyBorder="1" applyAlignment="1" applyProtection="1">
      <alignment horizontal="right"/>
      <protection locked="0"/>
    </xf>
    <xf numFmtId="0" fontId="0" fillId="11" borderId="0" xfId="20" applyFont="1" applyBorder="1" applyAlignment="1">
      <alignment horizontal="left" vertical="center" wrapText="1"/>
    </xf>
    <xf numFmtId="0" fontId="0" fillId="38" borderId="27" xfId="0" applyFill="1" applyBorder="1" applyAlignment="1" applyProtection="1">
      <alignment horizontal="left"/>
      <protection locked="0"/>
    </xf>
    <xf numFmtId="0" fontId="0" fillId="38" borderId="4" xfId="0" applyFill="1" applyBorder="1" applyAlignment="1" applyProtection="1">
      <alignment horizontal="left"/>
      <protection locked="0"/>
    </xf>
    <xf numFmtId="0" fontId="0" fillId="38" borderId="5" xfId="0" applyFill="1" applyBorder="1" applyAlignment="1" applyProtection="1">
      <alignment horizontal="left"/>
      <protection locked="0"/>
    </xf>
    <xf numFmtId="0" fontId="22" fillId="0" borderId="0" xfId="0" applyFont="1" applyAlignment="1">
      <alignment horizontal="left"/>
    </xf>
    <xf numFmtId="0" fontId="0" fillId="11" borderId="0" xfId="20" applyFont="1" applyAlignment="1">
      <alignment horizontal="left" vertical="top" wrapText="1"/>
    </xf>
    <xf numFmtId="0" fontId="1" fillId="11" borderId="0" xfId="20" applyAlignment="1">
      <alignment horizontal="left" vertical="top" wrapText="1"/>
    </xf>
  </cellXfs>
  <cellStyles count="48">
    <cellStyle name="20 % - Akzent1" xfId="20" builtinId="30" customBuiltin="1"/>
    <cellStyle name="20 % - Akzent2" xfId="24" builtinId="34" customBuiltin="1"/>
    <cellStyle name="20 % - Akzent3" xfId="28" builtinId="38" customBuiltin="1"/>
    <cellStyle name="20 % - Akzent4" xfId="32" builtinId="42" customBuiltin="1"/>
    <cellStyle name="20 % - Akzent5" xfId="36" builtinId="46" customBuiltin="1"/>
    <cellStyle name="20 % - Akzent6" xfId="40" builtinId="50" customBuiltin="1"/>
    <cellStyle name="40 % - Akzent1" xfId="21" builtinId="31" customBuiltin="1"/>
    <cellStyle name="40 % - Akzent2" xfId="25" builtinId="35" customBuiltin="1"/>
    <cellStyle name="40 % - Akzent3" xfId="29" builtinId="39" customBuiltin="1"/>
    <cellStyle name="40 % - Akzent4" xfId="33" builtinId="43" customBuiltin="1"/>
    <cellStyle name="40 % - Akzent5" xfId="37" builtinId="47" customBuiltin="1"/>
    <cellStyle name="40 % - Akzent6" xfId="41" builtinId="51" customBuiltin="1"/>
    <cellStyle name="60 % - Akzent1" xfId="22" builtinId="32" customBuiltin="1"/>
    <cellStyle name="60 % - Akzent2" xfId="26" builtinId="36" customBuiltin="1"/>
    <cellStyle name="60 % - Akzent3" xfId="30" builtinId="40" customBuiltin="1"/>
    <cellStyle name="60 % - Akzent4" xfId="34" builtinId="44" customBuiltin="1"/>
    <cellStyle name="60 % - Akzent5" xfId="38" builtinId="48" customBuiltin="1"/>
    <cellStyle name="60 % - Akzent6" xfId="42" builtinId="52" customBuiltin="1"/>
    <cellStyle name="Akzent1" xfId="19" builtinId="29" customBuiltin="1"/>
    <cellStyle name="Akzent2" xfId="23" builtinId="33" customBuiltin="1"/>
    <cellStyle name="Akzent3" xfId="27" builtinId="37" customBuiltin="1"/>
    <cellStyle name="Akzent4" xfId="31" builtinId="41" customBuiltin="1"/>
    <cellStyle name="Akzent5" xfId="35" builtinId="45" customBuiltin="1"/>
    <cellStyle name="Akzent6" xfId="39" builtinId="49" customBuiltin="1"/>
    <cellStyle name="Ausgabe" xfId="11" builtinId="21" customBuiltin="1"/>
    <cellStyle name="Berechnung" xfId="12" builtinId="22" customBuiltin="1"/>
    <cellStyle name="Eingabe" xfId="10" builtinId="20" customBuiltin="1"/>
    <cellStyle name="Ergebnis" xfId="18" builtinId="25" customBuiltin="1"/>
    <cellStyle name="Erklärender Text" xfId="17" builtinId="53" customBuiltin="1"/>
    <cellStyle name="Gut" xfId="7" builtinId="26" customBuiltin="1"/>
    <cellStyle name="Neutral" xfId="9" builtinId="28" customBuiltin="1"/>
    <cellStyle name="Notiz" xfId="16" builtinId="10" customBuiltin="1"/>
    <cellStyle name="Prozent" xfId="1" builtinId="5"/>
    <cellStyle name="Schlecht" xfId="8" builtinId="27" customBuiltin="1"/>
    <cellStyle name="Standard" xfId="0" builtinId="0"/>
    <cellStyle name="Standard 2" xfId="45" xr:uid="{00000000-0005-0000-0000-000023000000}"/>
    <cellStyle name="Standard 2 2" xfId="44" xr:uid="{00000000-0005-0000-0000-000024000000}"/>
    <cellStyle name="Überschrift" xfId="2" builtinId="15" customBuiltin="1"/>
    <cellStyle name="Überschrift 1" xfId="3" builtinId="16" customBuiltin="1"/>
    <cellStyle name="Überschrift 2" xfId="4" builtinId="17" customBuiltin="1"/>
    <cellStyle name="Überschrift 3" xfId="5" builtinId="18" customBuiltin="1"/>
    <cellStyle name="Überschrift 4" xfId="6" builtinId="19" customBuiltin="1"/>
    <cellStyle name="Verknüpfte Zelle" xfId="13" builtinId="24" customBuiltin="1"/>
    <cellStyle name="Währung" xfId="43" builtinId="4"/>
    <cellStyle name="Währung 2" xfId="46" xr:uid="{00000000-0005-0000-0000-00002C000000}"/>
    <cellStyle name="Währung 3" xfId="47" xr:uid="{00000000-0005-0000-0000-00002D000000}"/>
    <cellStyle name="Warnender Text" xfId="15" builtinId="11" customBuiltin="1"/>
    <cellStyle name="Zelle überprüfen" xfId="14" builtinId="23" customBuiltin="1"/>
  </cellStyles>
  <dxfs count="4">
    <dxf>
      <fill>
        <patternFill>
          <bgColor theme="4" tint="0.79998168889431442"/>
        </patternFill>
      </fill>
    </dxf>
    <dxf>
      <fill>
        <patternFill>
          <bgColor rgb="FFFFCCFF"/>
        </patternFill>
      </fill>
    </dxf>
    <dxf>
      <fill>
        <patternFill>
          <bgColor theme="4" tint="0.79998168889431442"/>
        </patternFill>
      </fill>
    </dxf>
    <dxf>
      <fill>
        <patternFill>
          <bgColor rgb="FFFFCCFF"/>
        </patternFill>
      </fill>
    </dxf>
  </dxfs>
  <tableStyles count="0" defaultTableStyle="TableStyleMedium2" defaultPivotStyle="PivotStyleLight16"/>
  <colors>
    <mruColors>
      <color rgb="FFFC2704"/>
      <color rgb="FFFF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561721</xdr:colOff>
      <xdr:row>42</xdr:row>
      <xdr:rowOff>28575</xdr:rowOff>
    </xdr:to>
    <xdr:pic>
      <xdr:nvPicPr>
        <xdr:cNvPr id="4" name="Grafik 3">
          <a:extLst>
            <a:ext uri="{FF2B5EF4-FFF2-40B4-BE49-F238E27FC236}">
              <a16:creationId xmlns:a16="http://schemas.microsoft.com/office/drawing/2014/main" id="{D8B7F4E9-0233-4755-82AA-EB069AE0CC0F}"/>
            </a:ext>
          </a:extLst>
        </xdr:cNvPr>
        <xdr:cNvPicPr>
          <a:picLocks noChangeAspect="1"/>
        </xdr:cNvPicPr>
      </xdr:nvPicPr>
      <xdr:blipFill>
        <a:blip xmlns:r="http://schemas.openxmlformats.org/officeDocument/2006/relationships" r:embed="rId1"/>
        <a:stretch>
          <a:fillRect/>
        </a:stretch>
      </xdr:blipFill>
      <xdr:spPr>
        <a:xfrm>
          <a:off x="0" y="0"/>
          <a:ext cx="6276721" cy="9086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1</xdr:row>
      <xdr:rowOff>0</xdr:rowOff>
    </xdr:from>
    <xdr:to>
      <xdr:col>20</xdr:col>
      <xdr:colOff>695325</xdr:colOff>
      <xdr:row>18</xdr:row>
      <xdr:rowOff>6350</xdr:rowOff>
    </xdr:to>
    <xdr:sp macro="" textlink="">
      <xdr:nvSpPr>
        <xdr:cNvPr id="2" name="Textfeld 1">
          <a:extLst>
            <a:ext uri="{FF2B5EF4-FFF2-40B4-BE49-F238E27FC236}">
              <a16:creationId xmlns:a16="http://schemas.microsoft.com/office/drawing/2014/main" id="{00000000-0008-0000-0800-000002000000}"/>
            </a:ext>
          </a:extLst>
        </xdr:cNvPr>
        <xdr:cNvSpPr txBox="1">
          <a:spLocks noChangeArrowheads="1"/>
        </xdr:cNvSpPr>
      </xdr:nvSpPr>
      <xdr:spPr bwMode="auto">
        <a:xfrm>
          <a:off x="12325350" y="342900"/>
          <a:ext cx="2981325" cy="3333750"/>
        </a:xfrm>
        <a:prstGeom prst="rect">
          <a:avLst/>
        </a:prstGeom>
        <a:solidFill>
          <a:srgbClr val="FFFFFF"/>
        </a:solidFill>
        <a:ln w="9525">
          <a:solidFill>
            <a:srgbClr val="BCBCBC"/>
          </a:solidFill>
          <a:miter lim="800000"/>
          <a:headEnd/>
          <a:tailEnd/>
        </a:ln>
      </xdr:spPr>
      <xdr:txBody>
        <a:bodyPr vertOverflow="clip" wrap="square" lIns="27432" tIns="27432" rIns="0" bIns="0" anchor="t" upright="1"/>
        <a:lstStyle/>
        <a:p>
          <a:pPr algn="l" rtl="0">
            <a:defRPr sz="1000"/>
          </a:pPr>
          <a:r>
            <a:rPr lang="de-DE" sz="1000" b="0" i="0" u="none" strike="noStrike" baseline="0">
              <a:solidFill>
                <a:srgbClr val="000000"/>
              </a:solidFill>
              <a:latin typeface="Courier New"/>
              <a:cs typeface="Courier New"/>
            </a:rPr>
            <a:t>Hinweise:</a:t>
          </a:r>
        </a:p>
        <a:p>
          <a:pPr algn="l" rtl="0">
            <a:defRPr sz="1000"/>
          </a:pPr>
          <a:endParaRPr lang="de-DE" sz="1000" b="0" i="0" u="none" strike="noStrike" baseline="0">
            <a:solidFill>
              <a:srgbClr val="000000"/>
            </a:solidFill>
            <a:latin typeface="Courier New"/>
            <a:cs typeface="Courier New"/>
          </a:endParaRPr>
        </a:p>
        <a:p>
          <a:pPr algn="l" rtl="0">
            <a:defRPr sz="1000"/>
          </a:pPr>
          <a:r>
            <a:rPr lang="de-DE" sz="1000" b="0" i="0" u="none" strike="noStrike" baseline="0">
              <a:solidFill>
                <a:srgbClr val="000000"/>
              </a:solidFill>
              <a:latin typeface="Courier New"/>
              <a:cs typeface="Courier New"/>
            </a:rPr>
            <a:t>- beim Faktorverfahren (nur bei</a:t>
          </a:r>
        </a:p>
        <a:p>
          <a:pPr algn="l" rtl="0">
            <a:defRPr sz="1000"/>
          </a:pPr>
          <a:r>
            <a:rPr lang="de-DE" sz="1000" b="0" i="0" u="none" strike="noStrike" baseline="0">
              <a:solidFill>
                <a:srgbClr val="000000"/>
              </a:solidFill>
              <a:latin typeface="Courier New"/>
              <a:cs typeface="Courier New"/>
            </a:rPr>
            <a:t>  Steuerklasse 4 möglich) sind die</a:t>
          </a:r>
        </a:p>
        <a:p>
          <a:pPr algn="l" rtl="0">
            <a:defRPr sz="1000"/>
          </a:pPr>
          <a:r>
            <a:rPr lang="de-DE" sz="1000" b="0" i="0" u="none" strike="noStrike" baseline="0">
              <a:solidFill>
                <a:srgbClr val="000000"/>
              </a:solidFill>
              <a:latin typeface="Courier New"/>
              <a:cs typeface="Courier New"/>
            </a:rPr>
            <a:t>  Eingangsparameter </a:t>
          </a:r>
          <a:r>
            <a:rPr lang="de-DE" sz="1000" b="1" i="0" u="none" strike="noStrike" baseline="0">
              <a:solidFill>
                <a:srgbClr val="FF0000"/>
              </a:solidFill>
              <a:latin typeface="Courier New"/>
              <a:cs typeface="Courier New"/>
            </a:rPr>
            <a:t>AF</a:t>
          </a:r>
          <a:r>
            <a:rPr lang="de-DE" sz="1000" b="0" i="0" u="none" strike="noStrike" baseline="0">
              <a:solidFill>
                <a:srgbClr val="000000"/>
              </a:solidFill>
              <a:latin typeface="Courier New"/>
              <a:cs typeface="Courier New"/>
            </a:rPr>
            <a:t> und </a:t>
          </a:r>
          <a:r>
            <a:rPr lang="de-DE" sz="1000" b="1" i="0" u="none" strike="noStrike" baseline="0">
              <a:solidFill>
                <a:srgbClr val="FF0000"/>
              </a:solidFill>
              <a:latin typeface="Courier New"/>
              <a:cs typeface="Courier New"/>
            </a:rPr>
            <a:t>F</a:t>
          </a:r>
          <a:r>
            <a:rPr lang="de-DE" sz="1000" b="0" i="0" u="none" strike="noStrike" baseline="0">
              <a:solidFill>
                <a:srgbClr val="000000"/>
              </a:solidFill>
              <a:latin typeface="Courier New"/>
              <a:cs typeface="Courier New"/>
            </a:rPr>
            <a:t> zu</a:t>
          </a:r>
        </a:p>
        <a:p>
          <a:pPr algn="l" rtl="0">
            <a:defRPr sz="1000"/>
          </a:pPr>
          <a:r>
            <a:rPr lang="de-DE" sz="1000" b="0" i="0" u="none" strike="noStrike" baseline="0">
              <a:solidFill>
                <a:srgbClr val="000000"/>
              </a:solidFill>
              <a:latin typeface="Courier New"/>
              <a:cs typeface="Courier New"/>
            </a:rPr>
            <a:t>  füllen</a:t>
          </a:r>
        </a:p>
        <a:p>
          <a:pPr algn="l" rtl="0">
            <a:defRPr sz="1000"/>
          </a:pPr>
          <a:r>
            <a:rPr lang="de-DE" sz="1000" b="0" i="0" u="none" strike="noStrike" baseline="0">
              <a:solidFill>
                <a:srgbClr val="000000"/>
              </a:solidFill>
              <a:latin typeface="Courier New"/>
              <a:cs typeface="Courier New"/>
            </a:rPr>
            <a:t>- bei Kinderlosen, die den</a:t>
          </a:r>
        </a:p>
        <a:p>
          <a:pPr algn="l" rtl="0">
            <a:defRPr sz="1000"/>
          </a:pPr>
          <a:r>
            <a:rPr lang="de-DE" sz="1000" b="0" i="0" u="none" strike="noStrike" baseline="0">
              <a:solidFill>
                <a:srgbClr val="000000"/>
              </a:solidFill>
              <a:latin typeface="Courier New"/>
              <a:cs typeface="Courier New"/>
            </a:rPr>
            <a:t>  Zusatzbeitrag zur Pflege-</a:t>
          </a:r>
        </a:p>
        <a:p>
          <a:pPr algn="l" rtl="0">
            <a:defRPr sz="1000"/>
          </a:pPr>
          <a:r>
            <a:rPr lang="de-DE" sz="1000" b="0" i="0" u="none" strike="noStrike" baseline="0">
              <a:solidFill>
                <a:srgbClr val="000000"/>
              </a:solidFill>
              <a:latin typeface="Courier New"/>
              <a:cs typeface="Courier New"/>
            </a:rPr>
            <a:t>  versicherung zu zahlen haben, ist</a:t>
          </a:r>
        </a:p>
        <a:p>
          <a:pPr algn="l" rtl="0">
            <a:defRPr sz="1000"/>
          </a:pPr>
          <a:r>
            <a:rPr lang="de-DE" sz="1000" b="0" i="0" u="none" strike="noStrike" baseline="0">
              <a:solidFill>
                <a:srgbClr val="000000"/>
              </a:solidFill>
              <a:latin typeface="Courier New"/>
              <a:cs typeface="Courier New"/>
            </a:rPr>
            <a:t>  der Eingangsparameter </a:t>
          </a:r>
          <a:r>
            <a:rPr lang="de-DE" sz="1000" b="1" i="0" u="none" strike="noStrike" baseline="0">
              <a:solidFill>
                <a:srgbClr val="FF0000"/>
              </a:solidFill>
              <a:latin typeface="Courier New"/>
              <a:cs typeface="Courier New"/>
            </a:rPr>
            <a:t>PVZ</a:t>
          </a:r>
          <a:r>
            <a:rPr lang="de-DE" sz="1000" b="0" i="0" u="none" strike="noStrike" baseline="0">
              <a:solidFill>
                <a:srgbClr val="000000"/>
              </a:solidFill>
              <a:latin typeface="Courier New"/>
              <a:cs typeface="Courier New"/>
            </a:rPr>
            <a:t> auf 1 zu</a:t>
          </a:r>
        </a:p>
        <a:p>
          <a:pPr algn="l" rtl="0">
            <a:defRPr sz="1000"/>
          </a:pPr>
          <a:r>
            <a:rPr lang="de-DE" sz="1000" b="0" i="0" u="none" strike="noStrike" baseline="0">
              <a:solidFill>
                <a:srgbClr val="000000"/>
              </a:solidFill>
              <a:latin typeface="Courier New"/>
              <a:cs typeface="Courier New"/>
            </a:rPr>
            <a:t>  setzen, ansonsten 0</a:t>
          </a:r>
        </a:p>
        <a:p>
          <a:pPr algn="l" rtl="0">
            <a:defRPr sz="1000"/>
          </a:pPr>
          <a:r>
            <a:rPr lang="de-DE" sz="1000" b="0" i="0" u="none" strike="noStrike" baseline="0">
              <a:solidFill>
                <a:srgbClr val="000000"/>
              </a:solidFill>
              <a:latin typeface="Courier New"/>
              <a:cs typeface="Courier New"/>
            </a:rPr>
            <a:t>- bei Privatversicherten sind die</a:t>
          </a:r>
        </a:p>
        <a:p>
          <a:pPr algn="l" rtl="0">
            <a:defRPr sz="1000"/>
          </a:pPr>
          <a:r>
            <a:rPr lang="de-DE" sz="1000" b="0" i="0" u="none" strike="noStrike" baseline="0">
              <a:solidFill>
                <a:srgbClr val="000000"/>
              </a:solidFill>
              <a:latin typeface="Courier New"/>
              <a:cs typeface="Courier New"/>
            </a:rPr>
            <a:t>  Eingangsparameter </a:t>
          </a:r>
          <a:r>
            <a:rPr lang="de-DE" sz="1000" b="1" i="0" u="none" strike="noStrike" baseline="0">
              <a:solidFill>
                <a:srgbClr val="FF0000"/>
              </a:solidFill>
              <a:latin typeface="Courier New"/>
              <a:cs typeface="Courier New"/>
            </a:rPr>
            <a:t>PKV</a:t>
          </a:r>
          <a:endParaRPr lang="de-DE" sz="1000" b="0" i="0" u="none" strike="noStrike" baseline="0">
            <a:solidFill>
              <a:srgbClr val="FF0000"/>
            </a:solidFill>
            <a:latin typeface="Courier New"/>
            <a:cs typeface="Courier New"/>
          </a:endParaRPr>
        </a:p>
        <a:p>
          <a:pPr algn="l" rtl="0">
            <a:defRPr sz="1000"/>
          </a:pPr>
          <a:r>
            <a:rPr lang="de-DE" sz="1000" b="0" i="0" u="none" strike="noStrike" baseline="0">
              <a:solidFill>
                <a:srgbClr val="000000"/>
              </a:solidFill>
              <a:latin typeface="Courier New"/>
              <a:cs typeface="Courier New"/>
            </a:rPr>
            <a:t>  (Kennzeichen 1 oder 2) und evtl.</a:t>
          </a:r>
        </a:p>
        <a:p>
          <a:pPr algn="l" rtl="0">
            <a:defRPr sz="1000"/>
          </a:pPr>
          <a:r>
            <a:rPr lang="de-DE" sz="1000" b="0" i="0" u="none" strike="noStrike" baseline="0">
              <a:solidFill>
                <a:srgbClr val="000000"/>
              </a:solidFill>
              <a:latin typeface="Courier New"/>
              <a:cs typeface="Courier New"/>
            </a:rPr>
            <a:t>  </a:t>
          </a:r>
          <a:r>
            <a:rPr lang="de-DE" sz="1000" b="1" i="0" u="none" strike="noStrike" baseline="0">
              <a:solidFill>
                <a:srgbClr val="FF0000"/>
              </a:solidFill>
              <a:latin typeface="Courier New"/>
              <a:cs typeface="Courier New"/>
            </a:rPr>
            <a:t>PKPV</a:t>
          </a:r>
          <a:r>
            <a:rPr lang="de-DE" sz="1000" b="0" i="0" u="none" strike="noStrike" baseline="0">
              <a:solidFill>
                <a:srgbClr val="000000"/>
              </a:solidFill>
              <a:latin typeface="Courier New"/>
              <a:cs typeface="Courier New"/>
            </a:rPr>
            <a:t> (wenn ein Basistarif zur PKV</a:t>
          </a:r>
        </a:p>
        <a:p>
          <a:pPr algn="l" rtl="0">
            <a:defRPr sz="1000"/>
          </a:pPr>
          <a:r>
            <a:rPr lang="de-DE" sz="1000" b="0" i="0" u="none" strike="noStrike" baseline="0">
              <a:solidFill>
                <a:srgbClr val="000000"/>
              </a:solidFill>
              <a:latin typeface="Courier New"/>
              <a:cs typeface="Courier New"/>
            </a:rPr>
            <a:t>  bekannt ist) einzutragen</a:t>
          </a:r>
        </a:p>
        <a:p>
          <a:pPr algn="l" rtl="0">
            <a:defRPr sz="1000"/>
          </a:pPr>
          <a:r>
            <a:rPr lang="de-DE" sz="1000" b="0" i="0" u="none" strike="noStrike" baseline="0">
              <a:solidFill>
                <a:srgbClr val="000000"/>
              </a:solidFill>
              <a:latin typeface="Courier New"/>
              <a:cs typeface="Courier New"/>
            </a:rPr>
            <a:t>- beim Eingangsparameter </a:t>
          </a:r>
          <a:r>
            <a:rPr lang="de-DE" sz="1000" b="1" i="0" u="none" strike="noStrike" baseline="0">
              <a:solidFill>
                <a:srgbClr val="FF0000"/>
              </a:solidFill>
              <a:latin typeface="Courier New"/>
              <a:cs typeface="Courier New"/>
            </a:rPr>
            <a:t>KVZ</a:t>
          </a:r>
        </a:p>
        <a:p>
          <a:pPr algn="l" rtl="0">
            <a:defRPr sz="1000"/>
          </a:pPr>
          <a:r>
            <a:rPr lang="de-DE" sz="1000" b="1" i="0" u="none" strike="noStrike" baseline="0">
              <a:solidFill>
                <a:srgbClr val="000000"/>
              </a:solidFill>
              <a:latin typeface="Courier New"/>
              <a:cs typeface="Courier New"/>
            </a:rPr>
            <a:t>  </a:t>
          </a:r>
          <a:r>
            <a:rPr lang="de-DE" sz="1000" b="0" i="0" u="none" strike="noStrike" baseline="0">
              <a:solidFill>
                <a:srgbClr val="000000"/>
              </a:solidFill>
              <a:latin typeface="Courier New"/>
              <a:cs typeface="Courier New"/>
            </a:rPr>
            <a:t>ist der Zusatzbeitrag für die</a:t>
          </a:r>
          <a:br>
            <a:rPr lang="de-DE" sz="1000" b="0" i="0" u="none" strike="noStrike" baseline="0">
              <a:solidFill>
                <a:srgbClr val="000000"/>
              </a:solidFill>
              <a:latin typeface="Courier New"/>
              <a:cs typeface="Courier New"/>
            </a:rPr>
          </a:br>
          <a:r>
            <a:rPr lang="de-DE" sz="1000" b="0" i="0" u="none" strike="noStrike" baseline="0">
              <a:solidFill>
                <a:srgbClr val="000000"/>
              </a:solidFill>
              <a:latin typeface="Courier New"/>
              <a:cs typeface="Courier New"/>
            </a:rPr>
            <a:t>  Krankenversicherung einzutragen</a:t>
          </a:r>
          <a:br>
            <a:rPr lang="de-DE" sz="1000" b="0" i="0" u="none" strike="noStrike" baseline="0">
              <a:solidFill>
                <a:srgbClr val="000000"/>
              </a:solidFill>
              <a:latin typeface="Courier New"/>
              <a:cs typeface="Courier New"/>
            </a:rPr>
          </a:br>
          <a:r>
            <a:rPr lang="de-DE" sz="1000" b="0" i="0" u="none" strike="noStrike" baseline="0">
              <a:solidFill>
                <a:srgbClr val="000000"/>
              </a:solidFill>
              <a:latin typeface="Courier New"/>
              <a:cs typeface="Courier New"/>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1</xdr:row>
      <xdr:rowOff>0</xdr:rowOff>
    </xdr:from>
    <xdr:to>
      <xdr:col>20</xdr:col>
      <xdr:colOff>695325</xdr:colOff>
      <xdr:row>18</xdr:row>
      <xdr:rowOff>6350</xdr:rowOff>
    </xdr:to>
    <xdr:sp macro="" textlink="">
      <xdr:nvSpPr>
        <xdr:cNvPr id="2" name="Textfeld 1">
          <a:extLst>
            <a:ext uri="{FF2B5EF4-FFF2-40B4-BE49-F238E27FC236}">
              <a16:creationId xmlns:a16="http://schemas.microsoft.com/office/drawing/2014/main" id="{00000000-0008-0000-0900-000002000000}"/>
            </a:ext>
          </a:extLst>
        </xdr:cNvPr>
        <xdr:cNvSpPr txBox="1">
          <a:spLocks noChangeArrowheads="1"/>
        </xdr:cNvSpPr>
      </xdr:nvSpPr>
      <xdr:spPr bwMode="auto">
        <a:xfrm>
          <a:off x="9248775" y="342900"/>
          <a:ext cx="0" cy="3311525"/>
        </a:xfrm>
        <a:prstGeom prst="rect">
          <a:avLst/>
        </a:prstGeom>
        <a:solidFill>
          <a:srgbClr val="FFFFFF"/>
        </a:solidFill>
        <a:ln w="9525">
          <a:solidFill>
            <a:srgbClr val="BCBCBC"/>
          </a:solidFill>
          <a:miter lim="800000"/>
          <a:headEnd/>
          <a:tailEnd/>
        </a:ln>
      </xdr:spPr>
      <xdr:txBody>
        <a:bodyPr vertOverflow="clip" wrap="square" lIns="27432" tIns="27432" rIns="0" bIns="0" anchor="t" upright="1"/>
        <a:lstStyle/>
        <a:p>
          <a:pPr algn="l" rtl="0">
            <a:defRPr sz="1000"/>
          </a:pPr>
          <a:r>
            <a:rPr lang="de-DE" sz="1000" b="0" i="0" u="none" strike="noStrike" baseline="0">
              <a:solidFill>
                <a:srgbClr val="000000"/>
              </a:solidFill>
              <a:latin typeface="Courier New"/>
              <a:cs typeface="Courier New"/>
            </a:rPr>
            <a:t>Hinweise:</a:t>
          </a:r>
        </a:p>
        <a:p>
          <a:pPr algn="l" rtl="0">
            <a:defRPr sz="1000"/>
          </a:pPr>
          <a:endParaRPr lang="de-DE" sz="1000" b="0" i="0" u="none" strike="noStrike" baseline="0">
            <a:solidFill>
              <a:srgbClr val="000000"/>
            </a:solidFill>
            <a:latin typeface="Courier New"/>
            <a:cs typeface="Courier New"/>
          </a:endParaRPr>
        </a:p>
        <a:p>
          <a:pPr algn="l" rtl="0">
            <a:defRPr sz="1000"/>
          </a:pPr>
          <a:r>
            <a:rPr lang="de-DE" sz="1000" b="0" i="0" u="none" strike="noStrike" baseline="0">
              <a:solidFill>
                <a:srgbClr val="000000"/>
              </a:solidFill>
              <a:latin typeface="Courier New"/>
              <a:cs typeface="Courier New"/>
            </a:rPr>
            <a:t>- beim Faktorverfahren (nur bei</a:t>
          </a:r>
        </a:p>
        <a:p>
          <a:pPr algn="l" rtl="0">
            <a:defRPr sz="1000"/>
          </a:pPr>
          <a:r>
            <a:rPr lang="de-DE" sz="1000" b="0" i="0" u="none" strike="noStrike" baseline="0">
              <a:solidFill>
                <a:srgbClr val="000000"/>
              </a:solidFill>
              <a:latin typeface="Courier New"/>
              <a:cs typeface="Courier New"/>
            </a:rPr>
            <a:t>  Steuerklasse 4 möglich) sind die</a:t>
          </a:r>
        </a:p>
        <a:p>
          <a:pPr algn="l" rtl="0">
            <a:defRPr sz="1000"/>
          </a:pPr>
          <a:r>
            <a:rPr lang="de-DE" sz="1000" b="0" i="0" u="none" strike="noStrike" baseline="0">
              <a:solidFill>
                <a:srgbClr val="000000"/>
              </a:solidFill>
              <a:latin typeface="Courier New"/>
              <a:cs typeface="Courier New"/>
            </a:rPr>
            <a:t>  Eingangsparameter </a:t>
          </a:r>
          <a:r>
            <a:rPr lang="de-DE" sz="1000" b="1" i="0" u="none" strike="noStrike" baseline="0">
              <a:solidFill>
                <a:srgbClr val="FF0000"/>
              </a:solidFill>
              <a:latin typeface="Courier New"/>
              <a:cs typeface="Courier New"/>
            </a:rPr>
            <a:t>AF</a:t>
          </a:r>
          <a:r>
            <a:rPr lang="de-DE" sz="1000" b="0" i="0" u="none" strike="noStrike" baseline="0">
              <a:solidFill>
                <a:srgbClr val="000000"/>
              </a:solidFill>
              <a:latin typeface="Courier New"/>
              <a:cs typeface="Courier New"/>
            </a:rPr>
            <a:t> und </a:t>
          </a:r>
          <a:r>
            <a:rPr lang="de-DE" sz="1000" b="1" i="0" u="none" strike="noStrike" baseline="0">
              <a:solidFill>
                <a:srgbClr val="FF0000"/>
              </a:solidFill>
              <a:latin typeface="Courier New"/>
              <a:cs typeface="Courier New"/>
            </a:rPr>
            <a:t>F</a:t>
          </a:r>
          <a:r>
            <a:rPr lang="de-DE" sz="1000" b="0" i="0" u="none" strike="noStrike" baseline="0">
              <a:solidFill>
                <a:srgbClr val="000000"/>
              </a:solidFill>
              <a:latin typeface="Courier New"/>
              <a:cs typeface="Courier New"/>
            </a:rPr>
            <a:t> zu</a:t>
          </a:r>
        </a:p>
        <a:p>
          <a:pPr algn="l" rtl="0">
            <a:defRPr sz="1000"/>
          </a:pPr>
          <a:r>
            <a:rPr lang="de-DE" sz="1000" b="0" i="0" u="none" strike="noStrike" baseline="0">
              <a:solidFill>
                <a:srgbClr val="000000"/>
              </a:solidFill>
              <a:latin typeface="Courier New"/>
              <a:cs typeface="Courier New"/>
            </a:rPr>
            <a:t>  füllen</a:t>
          </a:r>
        </a:p>
        <a:p>
          <a:pPr algn="l" rtl="0">
            <a:defRPr sz="1000"/>
          </a:pPr>
          <a:r>
            <a:rPr lang="de-DE" sz="1000" b="0" i="0" u="none" strike="noStrike" baseline="0">
              <a:solidFill>
                <a:srgbClr val="000000"/>
              </a:solidFill>
              <a:latin typeface="Courier New"/>
              <a:cs typeface="Courier New"/>
            </a:rPr>
            <a:t>- bei Kinderlosen, die den</a:t>
          </a:r>
        </a:p>
        <a:p>
          <a:pPr algn="l" rtl="0">
            <a:defRPr sz="1000"/>
          </a:pPr>
          <a:r>
            <a:rPr lang="de-DE" sz="1000" b="0" i="0" u="none" strike="noStrike" baseline="0">
              <a:solidFill>
                <a:srgbClr val="000000"/>
              </a:solidFill>
              <a:latin typeface="Courier New"/>
              <a:cs typeface="Courier New"/>
            </a:rPr>
            <a:t>  Zusatzbeitrag zur Pflege-</a:t>
          </a:r>
        </a:p>
        <a:p>
          <a:pPr algn="l" rtl="0">
            <a:defRPr sz="1000"/>
          </a:pPr>
          <a:r>
            <a:rPr lang="de-DE" sz="1000" b="0" i="0" u="none" strike="noStrike" baseline="0">
              <a:solidFill>
                <a:srgbClr val="000000"/>
              </a:solidFill>
              <a:latin typeface="Courier New"/>
              <a:cs typeface="Courier New"/>
            </a:rPr>
            <a:t>  versicherung zu zahlen haben, ist</a:t>
          </a:r>
        </a:p>
        <a:p>
          <a:pPr algn="l" rtl="0">
            <a:defRPr sz="1000"/>
          </a:pPr>
          <a:r>
            <a:rPr lang="de-DE" sz="1000" b="0" i="0" u="none" strike="noStrike" baseline="0">
              <a:solidFill>
                <a:srgbClr val="000000"/>
              </a:solidFill>
              <a:latin typeface="Courier New"/>
              <a:cs typeface="Courier New"/>
            </a:rPr>
            <a:t>  der Eingangsparameter </a:t>
          </a:r>
          <a:r>
            <a:rPr lang="de-DE" sz="1000" b="1" i="0" u="none" strike="noStrike" baseline="0">
              <a:solidFill>
                <a:srgbClr val="FF0000"/>
              </a:solidFill>
              <a:latin typeface="Courier New"/>
              <a:cs typeface="Courier New"/>
            </a:rPr>
            <a:t>PVZ</a:t>
          </a:r>
          <a:r>
            <a:rPr lang="de-DE" sz="1000" b="0" i="0" u="none" strike="noStrike" baseline="0">
              <a:solidFill>
                <a:srgbClr val="000000"/>
              </a:solidFill>
              <a:latin typeface="Courier New"/>
              <a:cs typeface="Courier New"/>
            </a:rPr>
            <a:t> auf 1 zu</a:t>
          </a:r>
        </a:p>
        <a:p>
          <a:pPr algn="l" rtl="0">
            <a:defRPr sz="1000"/>
          </a:pPr>
          <a:r>
            <a:rPr lang="de-DE" sz="1000" b="0" i="0" u="none" strike="noStrike" baseline="0">
              <a:solidFill>
                <a:srgbClr val="000000"/>
              </a:solidFill>
              <a:latin typeface="Courier New"/>
              <a:cs typeface="Courier New"/>
            </a:rPr>
            <a:t>  setzen, ansonsten 0</a:t>
          </a:r>
        </a:p>
        <a:p>
          <a:pPr algn="l" rtl="0">
            <a:defRPr sz="1000"/>
          </a:pPr>
          <a:r>
            <a:rPr lang="de-DE" sz="1000" b="0" i="0" u="none" strike="noStrike" baseline="0">
              <a:solidFill>
                <a:srgbClr val="000000"/>
              </a:solidFill>
              <a:latin typeface="Courier New"/>
              <a:cs typeface="Courier New"/>
            </a:rPr>
            <a:t>- bei Privatversicherten sind die</a:t>
          </a:r>
        </a:p>
        <a:p>
          <a:pPr algn="l" rtl="0">
            <a:defRPr sz="1000"/>
          </a:pPr>
          <a:r>
            <a:rPr lang="de-DE" sz="1000" b="0" i="0" u="none" strike="noStrike" baseline="0">
              <a:solidFill>
                <a:srgbClr val="000000"/>
              </a:solidFill>
              <a:latin typeface="Courier New"/>
              <a:cs typeface="Courier New"/>
            </a:rPr>
            <a:t>  Eingangsparameter </a:t>
          </a:r>
          <a:r>
            <a:rPr lang="de-DE" sz="1000" b="1" i="0" u="none" strike="noStrike" baseline="0">
              <a:solidFill>
                <a:srgbClr val="FF0000"/>
              </a:solidFill>
              <a:latin typeface="Courier New"/>
              <a:cs typeface="Courier New"/>
            </a:rPr>
            <a:t>PKV</a:t>
          </a:r>
          <a:endParaRPr lang="de-DE" sz="1000" b="0" i="0" u="none" strike="noStrike" baseline="0">
            <a:solidFill>
              <a:srgbClr val="FF0000"/>
            </a:solidFill>
            <a:latin typeface="Courier New"/>
            <a:cs typeface="Courier New"/>
          </a:endParaRPr>
        </a:p>
        <a:p>
          <a:pPr algn="l" rtl="0">
            <a:defRPr sz="1000"/>
          </a:pPr>
          <a:r>
            <a:rPr lang="de-DE" sz="1000" b="0" i="0" u="none" strike="noStrike" baseline="0">
              <a:solidFill>
                <a:srgbClr val="000000"/>
              </a:solidFill>
              <a:latin typeface="Courier New"/>
              <a:cs typeface="Courier New"/>
            </a:rPr>
            <a:t>  (Kennzeichen 1 oder 2) und evtl.</a:t>
          </a:r>
        </a:p>
        <a:p>
          <a:pPr algn="l" rtl="0">
            <a:defRPr sz="1000"/>
          </a:pPr>
          <a:r>
            <a:rPr lang="de-DE" sz="1000" b="0" i="0" u="none" strike="noStrike" baseline="0">
              <a:solidFill>
                <a:srgbClr val="000000"/>
              </a:solidFill>
              <a:latin typeface="Courier New"/>
              <a:cs typeface="Courier New"/>
            </a:rPr>
            <a:t>  </a:t>
          </a:r>
          <a:r>
            <a:rPr lang="de-DE" sz="1000" b="1" i="0" u="none" strike="noStrike" baseline="0">
              <a:solidFill>
                <a:srgbClr val="FF0000"/>
              </a:solidFill>
              <a:latin typeface="Courier New"/>
              <a:cs typeface="Courier New"/>
            </a:rPr>
            <a:t>PKPV</a:t>
          </a:r>
          <a:r>
            <a:rPr lang="de-DE" sz="1000" b="0" i="0" u="none" strike="noStrike" baseline="0">
              <a:solidFill>
                <a:srgbClr val="000000"/>
              </a:solidFill>
              <a:latin typeface="Courier New"/>
              <a:cs typeface="Courier New"/>
            </a:rPr>
            <a:t> (wenn ein Basistarif zur PKV</a:t>
          </a:r>
        </a:p>
        <a:p>
          <a:pPr algn="l" rtl="0">
            <a:defRPr sz="1000"/>
          </a:pPr>
          <a:r>
            <a:rPr lang="de-DE" sz="1000" b="0" i="0" u="none" strike="noStrike" baseline="0">
              <a:solidFill>
                <a:srgbClr val="000000"/>
              </a:solidFill>
              <a:latin typeface="Courier New"/>
              <a:cs typeface="Courier New"/>
            </a:rPr>
            <a:t>  bekannt ist) einzutragen</a:t>
          </a:r>
        </a:p>
        <a:p>
          <a:pPr algn="l" rtl="0">
            <a:defRPr sz="1000"/>
          </a:pPr>
          <a:r>
            <a:rPr lang="de-DE" sz="1000" b="0" i="0" u="none" strike="noStrike" baseline="0">
              <a:solidFill>
                <a:srgbClr val="000000"/>
              </a:solidFill>
              <a:latin typeface="Courier New"/>
              <a:cs typeface="Courier New"/>
            </a:rPr>
            <a:t>- beim Eingangsparameter </a:t>
          </a:r>
          <a:r>
            <a:rPr lang="de-DE" sz="1000" b="1" i="0" u="none" strike="noStrike" baseline="0">
              <a:solidFill>
                <a:srgbClr val="FF0000"/>
              </a:solidFill>
              <a:latin typeface="Courier New"/>
              <a:cs typeface="Courier New"/>
            </a:rPr>
            <a:t>KVZ</a:t>
          </a:r>
        </a:p>
        <a:p>
          <a:pPr algn="l" rtl="0">
            <a:defRPr sz="1000"/>
          </a:pPr>
          <a:r>
            <a:rPr lang="de-DE" sz="1000" b="1" i="0" u="none" strike="noStrike" baseline="0">
              <a:solidFill>
                <a:srgbClr val="000000"/>
              </a:solidFill>
              <a:latin typeface="Courier New"/>
              <a:cs typeface="Courier New"/>
            </a:rPr>
            <a:t>  </a:t>
          </a:r>
          <a:r>
            <a:rPr lang="de-DE" sz="1000" b="0" i="0" u="none" strike="noStrike" baseline="0">
              <a:solidFill>
                <a:srgbClr val="000000"/>
              </a:solidFill>
              <a:latin typeface="Courier New"/>
              <a:cs typeface="Courier New"/>
            </a:rPr>
            <a:t>ist der Zusatzbeitrag für die</a:t>
          </a:r>
          <a:br>
            <a:rPr lang="de-DE" sz="1000" b="0" i="0" u="none" strike="noStrike" baseline="0">
              <a:solidFill>
                <a:srgbClr val="000000"/>
              </a:solidFill>
              <a:latin typeface="Courier New"/>
              <a:cs typeface="Courier New"/>
            </a:rPr>
          </a:br>
          <a:r>
            <a:rPr lang="de-DE" sz="1000" b="0" i="0" u="none" strike="noStrike" baseline="0">
              <a:solidFill>
                <a:srgbClr val="000000"/>
              </a:solidFill>
              <a:latin typeface="Courier New"/>
              <a:cs typeface="Courier New"/>
            </a:rPr>
            <a:t>  Krankenversicherung einzutragen</a:t>
          </a:r>
          <a:br>
            <a:rPr lang="de-DE" sz="1000" b="0" i="0" u="none" strike="noStrike" baseline="0">
              <a:solidFill>
                <a:srgbClr val="000000"/>
              </a:solidFill>
              <a:latin typeface="Courier New"/>
              <a:cs typeface="Courier New"/>
            </a:rPr>
          </a:br>
          <a:r>
            <a:rPr lang="de-DE" sz="1000" b="0" i="0" u="none" strike="noStrike" baseline="0">
              <a:solidFill>
                <a:srgbClr val="000000"/>
              </a:solidFill>
              <a:latin typeface="Courier New"/>
              <a:cs typeface="Courier New"/>
            </a:rPr>
            <a:t> </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tabSelected="1" zoomScaleNormal="100" workbookViewId="0">
      <pane ySplit="1" topLeftCell="A2" activePane="bottomLeft" state="frozen"/>
      <selection pane="bottomLeft" activeCell="A2" sqref="A2"/>
    </sheetView>
  </sheetViews>
  <sheetFormatPr baseColWidth="10" defaultColWidth="11.42578125" defaultRowHeight="15" x14ac:dyDescent="0.25"/>
  <cols>
    <col min="1" max="1" width="35.7109375" style="30" customWidth="1"/>
    <col min="2" max="2" width="11.42578125" style="30"/>
    <col min="3" max="3" width="30" style="30" customWidth="1"/>
    <col min="4" max="4" width="22.85546875" style="30" customWidth="1"/>
    <col min="5" max="5" width="11.42578125" style="30"/>
    <col min="6" max="6" width="50.28515625" style="30" customWidth="1"/>
    <col min="7" max="16384" width="11.42578125" style="30"/>
  </cols>
  <sheetData>
    <row r="1" spans="1:6" ht="21" x14ac:dyDescent="0.35">
      <c r="A1" s="174" t="s">
        <v>83</v>
      </c>
      <c r="B1" s="174"/>
      <c r="C1" s="174"/>
      <c r="D1" s="174"/>
      <c r="E1" s="174"/>
      <c r="F1" s="174"/>
    </row>
    <row r="2" spans="1:6" ht="15.75" x14ac:dyDescent="0.25">
      <c r="A2" s="92"/>
    </row>
    <row r="3" spans="1:6" ht="66.75" customHeight="1" x14ac:dyDescent="0.25">
      <c r="A3" s="175" t="s">
        <v>253</v>
      </c>
      <c r="B3" s="175"/>
      <c r="C3" s="175"/>
      <c r="D3" s="175"/>
      <c r="E3" s="175"/>
      <c r="F3" s="175"/>
    </row>
    <row r="4" spans="1:6" ht="17.25" customHeight="1" x14ac:dyDescent="0.25">
      <c r="A4" s="92" t="s">
        <v>250</v>
      </c>
      <c r="B4" s="136"/>
      <c r="C4" s="136"/>
      <c r="D4" s="136"/>
      <c r="E4" s="136"/>
      <c r="F4" s="136"/>
    </row>
    <row r="5" spans="1:6" ht="15.75" x14ac:dyDescent="0.25">
      <c r="A5" s="92"/>
    </row>
    <row r="6" spans="1:6" ht="15.75" x14ac:dyDescent="0.25">
      <c r="A6" s="93" t="s">
        <v>84</v>
      </c>
    </row>
    <row r="7" spans="1:6" ht="15.75" x14ac:dyDescent="0.25">
      <c r="A7" s="94" t="s">
        <v>7</v>
      </c>
      <c r="B7" s="176" t="s">
        <v>85</v>
      </c>
      <c r="C7" s="176"/>
      <c r="D7" s="95" t="s">
        <v>86</v>
      </c>
      <c r="E7" s="177"/>
      <c r="F7" s="178"/>
    </row>
    <row r="8" spans="1:6" ht="35.25" customHeight="1" x14ac:dyDescent="0.25">
      <c r="A8" s="96" t="s">
        <v>102</v>
      </c>
      <c r="B8" s="182" t="s">
        <v>111</v>
      </c>
      <c r="C8" s="183"/>
      <c r="D8" s="179" t="s">
        <v>238</v>
      </c>
      <c r="E8" s="180"/>
      <c r="F8" s="181"/>
    </row>
    <row r="9" spans="1:6" ht="15.75" x14ac:dyDescent="0.25">
      <c r="A9" s="96" t="s">
        <v>88</v>
      </c>
      <c r="B9" s="96" t="s">
        <v>89</v>
      </c>
      <c r="C9" s="96"/>
      <c r="D9" s="179" t="s">
        <v>90</v>
      </c>
      <c r="E9" s="180"/>
      <c r="F9" s="181"/>
    </row>
    <row r="10" spans="1:6" ht="15.75" x14ac:dyDescent="0.25">
      <c r="A10" s="96" t="s">
        <v>103</v>
      </c>
      <c r="B10" s="96" t="s">
        <v>106</v>
      </c>
      <c r="C10" s="96"/>
      <c r="D10" s="179" t="s">
        <v>87</v>
      </c>
      <c r="E10" s="180"/>
      <c r="F10" s="181"/>
    </row>
    <row r="11" spans="1:6" ht="15.75" x14ac:dyDescent="0.25">
      <c r="A11" s="96" t="s">
        <v>104</v>
      </c>
      <c r="B11" s="96" t="s">
        <v>107</v>
      </c>
      <c r="C11" s="96"/>
      <c r="D11" s="99" t="s">
        <v>90</v>
      </c>
      <c r="E11" s="100"/>
      <c r="F11" s="101"/>
    </row>
    <row r="12" spans="1:6" ht="26.25" customHeight="1" x14ac:dyDescent="0.25">
      <c r="A12" s="96" t="s">
        <v>114</v>
      </c>
      <c r="B12" s="179" t="s">
        <v>108</v>
      </c>
      <c r="C12" s="181"/>
      <c r="D12" s="182" t="s">
        <v>110</v>
      </c>
      <c r="E12" s="190"/>
      <c r="F12" s="183"/>
    </row>
    <row r="13" spans="1:6" ht="15.75" x14ac:dyDescent="0.25">
      <c r="A13" s="96" t="s">
        <v>105</v>
      </c>
      <c r="B13" s="96" t="s">
        <v>107</v>
      </c>
      <c r="C13" s="96"/>
      <c r="D13" s="99" t="s">
        <v>90</v>
      </c>
      <c r="E13" s="100"/>
      <c r="F13" s="101"/>
    </row>
    <row r="14" spans="1:6" ht="15.75" x14ac:dyDescent="0.25">
      <c r="A14" s="96" t="s">
        <v>91</v>
      </c>
      <c r="B14" s="96" t="s">
        <v>92</v>
      </c>
      <c r="C14" s="96"/>
      <c r="D14" s="179" t="s">
        <v>93</v>
      </c>
      <c r="E14" s="180"/>
      <c r="F14" s="181"/>
    </row>
    <row r="16" spans="1:6" ht="18" customHeight="1" thickBot="1" x14ac:dyDescent="0.3">
      <c r="A16" s="92"/>
    </row>
    <row r="17" spans="1:6" ht="57" customHeight="1" thickBot="1" x14ac:dyDescent="0.3">
      <c r="A17" s="92"/>
      <c r="D17" s="185" t="s">
        <v>113</v>
      </c>
      <c r="E17" s="186"/>
      <c r="F17" s="187"/>
    </row>
    <row r="19" spans="1:6" ht="18.75" x14ac:dyDescent="0.3">
      <c r="A19" s="129" t="s">
        <v>94</v>
      </c>
      <c r="B19" s="130"/>
      <c r="C19" s="130"/>
      <c r="D19" s="130"/>
      <c r="E19" s="130"/>
      <c r="F19" s="131"/>
    </row>
    <row r="20" spans="1:6" ht="18.75" x14ac:dyDescent="0.3">
      <c r="A20" s="132" t="s">
        <v>95</v>
      </c>
      <c r="B20" s="133"/>
      <c r="C20" s="133"/>
      <c r="D20" s="133"/>
      <c r="E20" s="133"/>
      <c r="F20" s="134"/>
    </row>
    <row r="21" spans="1:6" ht="18.75" x14ac:dyDescent="0.3">
      <c r="A21" s="132" t="s">
        <v>112</v>
      </c>
      <c r="B21" s="133"/>
      <c r="C21" s="133"/>
      <c r="D21" s="133"/>
      <c r="E21" s="133"/>
      <c r="F21" s="134"/>
    </row>
    <row r="22" spans="1:6" s="102" customFormat="1" ht="77.25" customHeight="1" x14ac:dyDescent="0.25">
      <c r="A22" s="164" t="s">
        <v>244</v>
      </c>
      <c r="B22" s="165"/>
      <c r="C22" s="165"/>
      <c r="D22" s="165"/>
      <c r="E22" s="165"/>
      <c r="F22" s="166"/>
    </row>
    <row r="23" spans="1:6" s="102" customFormat="1" ht="34.5" customHeight="1" x14ac:dyDescent="0.3">
      <c r="A23" s="167" t="s">
        <v>245</v>
      </c>
      <c r="B23" s="168"/>
      <c r="C23" s="168"/>
      <c r="D23" s="168"/>
      <c r="E23" s="168"/>
      <c r="F23" s="169"/>
    </row>
    <row r="24" spans="1:6" s="102" customFormat="1" ht="27" customHeight="1" x14ac:dyDescent="0.3">
      <c r="A24" s="170" t="s">
        <v>256</v>
      </c>
      <c r="B24" s="171"/>
      <c r="C24" s="171"/>
      <c r="D24" s="171"/>
      <c r="E24" s="171"/>
      <c r="F24" s="172"/>
    </row>
    <row r="25" spans="1:6" ht="34.5" customHeight="1" x14ac:dyDescent="0.25"/>
    <row r="26" spans="1:6" ht="18.75" x14ac:dyDescent="0.3">
      <c r="A26" s="188" t="s">
        <v>96</v>
      </c>
      <c r="B26" s="188"/>
      <c r="C26" s="188"/>
      <c r="D26" s="188"/>
      <c r="E26" s="97"/>
      <c r="F26" s="97"/>
    </row>
    <row r="27" spans="1:6" ht="18.75" x14ac:dyDescent="0.3">
      <c r="A27" s="189" t="s">
        <v>97</v>
      </c>
      <c r="B27" s="189"/>
      <c r="C27" s="189"/>
      <c r="D27" s="189"/>
      <c r="E27" s="98"/>
      <c r="F27" s="98"/>
    </row>
    <row r="28" spans="1:6" ht="37.5" customHeight="1" x14ac:dyDescent="0.3">
      <c r="A28" s="184" t="s">
        <v>252</v>
      </c>
      <c r="B28" s="184"/>
      <c r="C28" s="184"/>
      <c r="D28" s="184"/>
      <c r="E28" s="184"/>
      <c r="F28" s="184"/>
    </row>
    <row r="30" spans="1:6" x14ac:dyDescent="0.25">
      <c r="A30" s="66" t="s">
        <v>98</v>
      </c>
    </row>
    <row r="31" spans="1:6" x14ac:dyDescent="0.25">
      <c r="A31" s="97" t="s">
        <v>99</v>
      </c>
    </row>
    <row r="32" spans="1:6" x14ac:dyDescent="0.25">
      <c r="A32" s="98" t="s">
        <v>100</v>
      </c>
    </row>
    <row r="33" spans="1:6" x14ac:dyDescent="0.25">
      <c r="A33" s="80" t="s">
        <v>101</v>
      </c>
    </row>
    <row r="35" spans="1:6" x14ac:dyDescent="0.25">
      <c r="A35" s="66" t="s">
        <v>246</v>
      </c>
    </row>
    <row r="36" spans="1:6" x14ac:dyDescent="0.25">
      <c r="A36" s="135" t="s">
        <v>247</v>
      </c>
    </row>
    <row r="37" spans="1:6" x14ac:dyDescent="0.25">
      <c r="A37" s="30" t="s">
        <v>248</v>
      </c>
    </row>
    <row r="39" spans="1:6" x14ac:dyDescent="0.25">
      <c r="A39" s="66" t="s">
        <v>249</v>
      </c>
    </row>
    <row r="40" spans="1:6" x14ac:dyDescent="0.25">
      <c r="A40" s="30" t="s">
        <v>254</v>
      </c>
    </row>
    <row r="41" spans="1:6" ht="30.75" customHeight="1" x14ac:dyDescent="0.25">
      <c r="A41" s="173" t="s">
        <v>255</v>
      </c>
      <c r="B41" s="173"/>
      <c r="C41" s="173"/>
      <c r="D41" s="173"/>
      <c r="E41" s="173"/>
      <c r="F41" s="173"/>
    </row>
  </sheetData>
  <sheetProtection sheet="1" objects="1" scenarios="1" selectLockedCells="1"/>
  <mergeCells count="19">
    <mergeCell ref="A27:D27"/>
    <mergeCell ref="B12:C12"/>
    <mergeCell ref="D12:F12"/>
    <mergeCell ref="A22:F22"/>
    <mergeCell ref="A23:F23"/>
    <mergeCell ref="A24:F24"/>
    <mergeCell ref="A41:F41"/>
    <mergeCell ref="A1:F1"/>
    <mergeCell ref="A3:F3"/>
    <mergeCell ref="B7:C7"/>
    <mergeCell ref="E7:F7"/>
    <mergeCell ref="D8:F8"/>
    <mergeCell ref="B8:C8"/>
    <mergeCell ref="A28:F28"/>
    <mergeCell ref="D10:F10"/>
    <mergeCell ref="D9:F9"/>
    <mergeCell ref="D14:F14"/>
    <mergeCell ref="D17:F17"/>
    <mergeCell ref="A26:D26"/>
  </mergeCells>
  <pageMargins left="0.70866141732283472" right="0.70866141732283472" top="0.78740157480314965" bottom="0.78740157480314965" header="0.31496062992125984" footer="0.31496062992125984"/>
  <pageSetup paperSize="9" scale="54"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pageSetUpPr fitToPage="1"/>
  </sheetPr>
  <dimension ref="A1:V500"/>
  <sheetViews>
    <sheetView zoomScale="120" zoomScaleNormal="120" zoomScaleSheetLayoutView="50" workbookViewId="0">
      <pane ySplit="1" topLeftCell="A2" activePane="bottomLeft" state="frozen"/>
      <selection activeCell="A47" sqref="A47"/>
      <selection pane="bottomLeft" activeCell="B8" sqref="B8:D8"/>
    </sheetView>
  </sheetViews>
  <sheetFormatPr baseColWidth="10" defaultColWidth="11.42578125" defaultRowHeight="15" outlineLevelCol="1" x14ac:dyDescent="0.25"/>
  <cols>
    <col min="1" max="1" width="17.85546875" style="30" customWidth="1"/>
    <col min="2" max="2" width="18.140625" style="30" customWidth="1"/>
    <col min="3" max="3" width="5.28515625" style="30" customWidth="1"/>
    <col min="4" max="4" width="19.28515625" style="30" customWidth="1"/>
    <col min="5" max="5" width="8.7109375" style="30" hidden="1" customWidth="1" outlineLevel="1"/>
    <col min="6" max="6" width="13.5703125" style="30" bestFit="1" customWidth="1" collapsed="1"/>
    <col min="7" max="10" width="13.28515625" style="30" customWidth="1"/>
    <col min="11" max="11" width="11.42578125" style="30"/>
    <col min="12" max="12" width="20.140625" style="30" hidden="1" customWidth="1" outlineLevel="1"/>
    <col min="13" max="15" width="11.42578125" style="30" hidden="1" customWidth="1" outlineLevel="1"/>
    <col min="16" max="16" width="5.85546875" style="30" hidden="1" customWidth="1" outlineLevel="1"/>
    <col min="17" max="17" width="4.140625" style="30" hidden="1" customWidth="1" outlineLevel="1"/>
    <col min="18" max="18" width="15.5703125" style="30" hidden="1" customWidth="1" outlineLevel="1"/>
    <col min="19" max="21" width="11.42578125" style="30" hidden="1" customWidth="1" outlineLevel="1"/>
    <col min="22" max="22" width="11.42578125" style="30" collapsed="1"/>
    <col min="23" max="16384" width="11.42578125" style="30"/>
  </cols>
  <sheetData>
    <row r="1" spans="1:15" ht="27" customHeight="1" thickBot="1" x14ac:dyDescent="0.3">
      <c r="A1" s="201" t="s">
        <v>27</v>
      </c>
      <c r="B1" s="201"/>
      <c r="C1" s="84">
        <f>GH_Gesamt!C1</f>
        <v>1</v>
      </c>
      <c r="D1" s="84">
        <f>GH_Gesamt!D1</f>
        <v>2020</v>
      </c>
      <c r="G1" s="2"/>
    </row>
    <row r="2" spans="1:15" ht="15.75" thickBot="1" x14ac:dyDescent="0.3">
      <c r="B2" s="4"/>
      <c r="C2" s="4"/>
      <c r="D2" s="4"/>
      <c r="F2" s="2"/>
      <c r="G2" s="2"/>
      <c r="L2" s="143" t="s">
        <v>289</v>
      </c>
      <c r="M2" s="116" t="s">
        <v>123</v>
      </c>
    </row>
    <row r="3" spans="1:15" x14ac:dyDescent="0.25">
      <c r="A3" s="19" t="s">
        <v>28</v>
      </c>
      <c r="B3" s="235" t="str">
        <f>GH_Gesamt!B3</f>
        <v>Muster-Üfa</v>
      </c>
      <c r="C3" s="236"/>
      <c r="D3" s="237"/>
      <c r="F3" s="2"/>
      <c r="G3" s="2"/>
      <c r="L3" s="147" t="s">
        <v>290</v>
      </c>
      <c r="N3" s="116"/>
      <c r="O3" s="117"/>
    </row>
    <row r="4" spans="1:15" x14ac:dyDescent="0.25">
      <c r="A4" s="20"/>
      <c r="B4" s="238" t="str">
        <f>GH_Gesamt!B4</f>
        <v>Musterstraße 1</v>
      </c>
      <c r="C4" s="239"/>
      <c r="D4" s="240"/>
      <c r="F4" s="2"/>
      <c r="G4" s="2"/>
      <c r="L4" s="30" t="str">
        <f>IF(M4=$R$41,$S$41,IF(M4=$R$42,$S$42,IF(M4=$R$43,$S$43,IF(M4=$R$44,$S$44,IF(M4=$R$45,$S$45,"")))))</f>
        <v/>
      </c>
      <c r="M4" s="151" t="s">
        <v>124</v>
      </c>
      <c r="N4" s="144"/>
      <c r="O4" s="142">
        <v>0</v>
      </c>
    </row>
    <row r="5" spans="1:15" ht="15.75" thickBot="1" x14ac:dyDescent="0.3">
      <c r="A5" s="21"/>
      <c r="B5" s="241" t="str">
        <f>GH_Gesamt!B5</f>
        <v>10101 Musterstadt</v>
      </c>
      <c r="C5" s="242"/>
      <c r="D5" s="243"/>
      <c r="F5" s="2"/>
      <c r="G5" s="2"/>
      <c r="I5" s="2"/>
      <c r="L5" s="30" t="str">
        <f t="shared" ref="L5:L68" si="0">IF(M5=$R$41,$S$41,IF(M5=$R$42,$S$42,IF(M5=$R$43,$S$43,IF(M5=$R$44,$S$44,IF(M5=$R$45,$S$45,"")))))</f>
        <v/>
      </c>
      <c r="M5" s="151" t="s">
        <v>125</v>
      </c>
      <c r="N5" s="144"/>
      <c r="O5" s="142">
        <v>0</v>
      </c>
    </row>
    <row r="6" spans="1:15" ht="15.75" thickBot="1" x14ac:dyDescent="0.3">
      <c r="B6" s="26"/>
      <c r="C6" s="2"/>
      <c r="D6" s="3"/>
      <c r="F6" s="2"/>
      <c r="I6" s="2"/>
      <c r="L6" s="30" t="str">
        <f t="shared" si="0"/>
        <v/>
      </c>
      <c r="M6" s="144" t="s">
        <v>126</v>
      </c>
      <c r="N6" s="144"/>
      <c r="O6" s="142">
        <v>0</v>
      </c>
    </row>
    <row r="7" spans="1:15" ht="15.75" x14ac:dyDescent="0.25">
      <c r="A7" s="50" t="s">
        <v>5</v>
      </c>
      <c r="B7" s="257"/>
      <c r="C7" s="258"/>
      <c r="D7" s="259"/>
      <c r="G7" s="277" t="s">
        <v>122</v>
      </c>
      <c r="H7" s="277"/>
      <c r="I7" s="277"/>
      <c r="L7" s="30" t="str">
        <f t="shared" si="0"/>
        <v/>
      </c>
      <c r="M7" s="152" t="s">
        <v>127</v>
      </c>
      <c r="N7" s="144"/>
      <c r="O7" s="119">
        <v>0</v>
      </c>
    </row>
    <row r="8" spans="1:15" x14ac:dyDescent="0.25">
      <c r="A8" s="20" t="s">
        <v>21</v>
      </c>
      <c r="B8" s="260"/>
      <c r="C8" s="261"/>
      <c r="D8" s="262"/>
      <c r="G8" s="277"/>
      <c r="H8" s="277"/>
      <c r="I8" s="277"/>
      <c r="L8" s="30" t="str">
        <f t="shared" si="0"/>
        <v/>
      </c>
      <c r="M8" s="144" t="s">
        <v>128</v>
      </c>
      <c r="N8" s="144"/>
      <c r="O8" s="142">
        <v>0</v>
      </c>
    </row>
    <row r="9" spans="1:15" x14ac:dyDescent="0.25">
      <c r="A9" s="20"/>
      <c r="B9" s="260"/>
      <c r="C9" s="261"/>
      <c r="D9" s="262"/>
      <c r="G9" s="2"/>
      <c r="H9" s="2"/>
      <c r="L9" s="30" t="str">
        <f t="shared" si="0"/>
        <v/>
      </c>
      <c r="M9" s="144" t="s">
        <v>129</v>
      </c>
      <c r="N9" s="144"/>
      <c r="O9" s="120">
        <v>0</v>
      </c>
    </row>
    <row r="10" spans="1:15" x14ac:dyDescent="0.25">
      <c r="A10" s="20"/>
      <c r="B10" s="260"/>
      <c r="C10" s="261"/>
      <c r="D10" s="262"/>
      <c r="F10" s="2"/>
      <c r="G10" s="2"/>
      <c r="H10" s="2"/>
      <c r="L10" s="30" t="str">
        <f t="shared" si="0"/>
        <v/>
      </c>
      <c r="M10" s="144" t="s">
        <v>130</v>
      </c>
      <c r="N10" s="144"/>
      <c r="O10" s="142">
        <v>2</v>
      </c>
    </row>
    <row r="11" spans="1:15" ht="15.75" thickBot="1" x14ac:dyDescent="0.3">
      <c r="A11" s="21"/>
      <c r="B11" s="278"/>
      <c r="C11" s="279"/>
      <c r="D11" s="280"/>
      <c r="G11" s="2"/>
      <c r="H11" s="2"/>
      <c r="L11" s="30" t="str">
        <f t="shared" si="0"/>
        <v/>
      </c>
      <c r="M11" s="151" t="s">
        <v>131</v>
      </c>
      <c r="N11" s="144"/>
      <c r="O11" s="142">
        <v>0</v>
      </c>
    </row>
    <row r="12" spans="1:15" ht="15.75" thickBot="1" x14ac:dyDescent="0.3">
      <c r="A12" s="4"/>
      <c r="B12" s="2"/>
      <c r="C12" s="2"/>
      <c r="G12" s="2"/>
      <c r="H12" s="2"/>
      <c r="L12" s="30" t="str">
        <f t="shared" si="0"/>
        <v/>
      </c>
      <c r="M12" s="151" t="s">
        <v>132</v>
      </c>
      <c r="N12" s="144"/>
      <c r="O12" s="142">
        <v>0</v>
      </c>
    </row>
    <row r="13" spans="1:15" ht="15.75" x14ac:dyDescent="0.25">
      <c r="A13" s="16" t="s">
        <v>6</v>
      </c>
      <c r="B13" s="27"/>
      <c r="C13" s="268"/>
      <c r="D13" s="269"/>
      <c r="F13" s="2"/>
      <c r="I13" s="2"/>
      <c r="J13" s="2"/>
      <c r="L13" s="30" t="str">
        <f t="shared" si="0"/>
        <v/>
      </c>
      <c r="M13" s="151" t="s">
        <v>133</v>
      </c>
      <c r="N13" s="144"/>
      <c r="O13" s="142">
        <v>0</v>
      </c>
    </row>
    <row r="14" spans="1:15" x14ac:dyDescent="0.25">
      <c r="A14" s="17" t="s">
        <v>0</v>
      </c>
      <c r="B14" s="11"/>
      <c r="C14" s="270"/>
      <c r="D14" s="271"/>
      <c r="G14" s="251" t="s">
        <v>240</v>
      </c>
      <c r="H14" s="251"/>
      <c r="I14" s="2"/>
      <c r="J14" s="2"/>
      <c r="L14" s="30" t="str">
        <f t="shared" si="0"/>
        <v/>
      </c>
      <c r="M14" s="151" t="s">
        <v>134</v>
      </c>
      <c r="N14" s="144"/>
      <c r="O14" s="142">
        <v>0</v>
      </c>
    </row>
    <row r="15" spans="1:15" x14ac:dyDescent="0.25">
      <c r="A15" s="17" t="s">
        <v>237</v>
      </c>
      <c r="B15" s="12"/>
      <c r="C15" s="270"/>
      <c r="D15" s="271"/>
      <c r="I15" s="2"/>
      <c r="L15" s="30" t="str">
        <f t="shared" si="0"/>
        <v/>
      </c>
      <c r="M15" s="151" t="s">
        <v>135</v>
      </c>
      <c r="N15" s="144"/>
      <c r="O15" s="142">
        <v>0</v>
      </c>
    </row>
    <row r="16" spans="1:15" x14ac:dyDescent="0.25">
      <c r="A16" s="17" t="s">
        <v>24</v>
      </c>
      <c r="B16" s="15"/>
      <c r="C16" s="275"/>
      <c r="D16" s="276"/>
      <c r="G16" s="251" t="s">
        <v>251</v>
      </c>
      <c r="H16" s="274"/>
      <c r="I16" s="274"/>
      <c r="J16" s="274"/>
      <c r="L16" s="30" t="str">
        <f t="shared" si="0"/>
        <v/>
      </c>
      <c r="M16" s="151" t="s">
        <v>136</v>
      </c>
      <c r="N16" s="144"/>
      <c r="O16" s="142">
        <v>0</v>
      </c>
    </row>
    <row r="17" spans="1:20" x14ac:dyDescent="0.25">
      <c r="A17" s="17" t="s">
        <v>115</v>
      </c>
      <c r="B17" s="15"/>
      <c r="C17" s="270"/>
      <c r="D17" s="271"/>
      <c r="E17" s="126" t="s">
        <v>140</v>
      </c>
      <c r="G17" s="251" t="s">
        <v>239</v>
      </c>
      <c r="H17" s="251"/>
      <c r="L17" s="30" t="str">
        <f t="shared" si="0"/>
        <v/>
      </c>
      <c r="M17" s="144" t="s">
        <v>137</v>
      </c>
      <c r="N17" s="144"/>
      <c r="O17" s="142">
        <v>1</v>
      </c>
    </row>
    <row r="18" spans="1:20" x14ac:dyDescent="0.25">
      <c r="A18" s="17" t="s">
        <v>3</v>
      </c>
      <c r="B18" s="13"/>
      <c r="C18" s="272"/>
      <c r="D18" s="273"/>
      <c r="L18" s="30" t="str">
        <f t="shared" si="0"/>
        <v>RE4 aus C23</v>
      </c>
      <c r="M18" s="144" t="s">
        <v>138</v>
      </c>
      <c r="N18" s="144"/>
      <c r="O18" s="148">
        <f>C23*100</f>
        <v>0</v>
      </c>
    </row>
    <row r="19" spans="1:20" ht="15.75" thickBot="1" x14ac:dyDescent="0.3">
      <c r="A19" s="18" t="s">
        <v>4</v>
      </c>
      <c r="B19" s="14"/>
      <c r="C19" s="249"/>
      <c r="D19" s="250"/>
      <c r="L19" s="30" t="str">
        <f t="shared" si="0"/>
        <v/>
      </c>
      <c r="M19" s="144" t="s">
        <v>139</v>
      </c>
      <c r="N19" s="144"/>
      <c r="O19" s="142">
        <v>0</v>
      </c>
    </row>
    <row r="20" spans="1:20" x14ac:dyDescent="0.25">
      <c r="L20" s="30" t="str">
        <f t="shared" si="0"/>
        <v>STKL aus C17</v>
      </c>
      <c r="M20" s="144" t="s">
        <v>140</v>
      </c>
      <c r="N20" s="144"/>
      <c r="O20" s="145">
        <f>C17</f>
        <v>0</v>
      </c>
    </row>
    <row r="21" spans="1:20" ht="15.75" thickBot="1" x14ac:dyDescent="0.3">
      <c r="G21" s="2"/>
      <c r="H21" s="2"/>
      <c r="L21" s="30" t="str">
        <f t="shared" si="0"/>
        <v/>
      </c>
      <c r="M21" s="144" t="s">
        <v>141</v>
      </c>
      <c r="N21" s="144"/>
      <c r="O21" s="142">
        <v>0</v>
      </c>
    </row>
    <row r="22" spans="1:20" ht="15.75" thickBot="1" x14ac:dyDescent="0.3">
      <c r="A22" s="22" t="s">
        <v>7</v>
      </c>
      <c r="B22" s="23" t="s">
        <v>31</v>
      </c>
      <c r="C22" s="34" t="s">
        <v>8</v>
      </c>
      <c r="D22" s="24"/>
      <c r="F22" s="2"/>
      <c r="G22" s="2"/>
      <c r="H22" s="2"/>
      <c r="L22" s="30" t="str">
        <f t="shared" si="0"/>
        <v/>
      </c>
      <c r="M22" s="144" t="s">
        <v>142</v>
      </c>
      <c r="N22" s="144"/>
      <c r="O22" s="142">
        <v>0</v>
      </c>
      <c r="Q22" s="66" t="s">
        <v>264</v>
      </c>
    </row>
    <row r="23" spans="1:20" ht="15.75" thickBot="1" x14ac:dyDescent="0.3">
      <c r="A23" s="51" t="s">
        <v>15</v>
      </c>
      <c r="B23" s="48"/>
      <c r="C23" s="255">
        <f>C24+C25</f>
        <v>0</v>
      </c>
      <c r="D23" s="200"/>
      <c r="E23" s="126" t="s">
        <v>138</v>
      </c>
      <c r="F23" s="2"/>
      <c r="G23" s="58"/>
      <c r="H23" s="2"/>
      <c r="L23" s="30" t="str">
        <f t="shared" si="0"/>
        <v/>
      </c>
      <c r="M23" s="144" t="s">
        <v>143</v>
      </c>
      <c r="N23" s="144"/>
      <c r="O23" s="142">
        <v>0</v>
      </c>
    </row>
    <row r="24" spans="1:20" x14ac:dyDescent="0.25">
      <c r="A24" s="44"/>
      <c r="B24" s="53" t="s">
        <v>9</v>
      </c>
      <c r="C24" s="264"/>
      <c r="D24" s="265"/>
      <c r="F24" s="2"/>
      <c r="G24" s="252" t="s">
        <v>242</v>
      </c>
      <c r="H24" s="252"/>
      <c r="L24" s="30" t="str">
        <f t="shared" si="0"/>
        <v/>
      </c>
      <c r="M24" s="144" t="s">
        <v>144</v>
      </c>
      <c r="N24" s="144"/>
      <c r="O24" s="142">
        <v>0</v>
      </c>
      <c r="Q24" s="150" t="s">
        <v>282</v>
      </c>
      <c r="R24" s="30" t="s">
        <v>266</v>
      </c>
    </row>
    <row r="25" spans="1:20" ht="15.75" thickBot="1" x14ac:dyDescent="0.3">
      <c r="A25" s="52"/>
      <c r="B25" s="54" t="s">
        <v>22</v>
      </c>
      <c r="C25" s="266"/>
      <c r="D25" s="267"/>
      <c r="G25" s="252" t="s">
        <v>241</v>
      </c>
      <c r="H25" s="252"/>
      <c r="L25" s="30" t="str">
        <f t="shared" si="0"/>
        <v/>
      </c>
      <c r="M25" s="144" t="s">
        <v>145</v>
      </c>
      <c r="N25" s="144"/>
      <c r="O25" s="121">
        <v>0</v>
      </c>
      <c r="Q25" s="150"/>
      <c r="R25" s="30" t="s">
        <v>265</v>
      </c>
    </row>
    <row r="26" spans="1:20" ht="15.75" thickBot="1" x14ac:dyDescent="0.3">
      <c r="A26" s="55" t="s">
        <v>30</v>
      </c>
      <c r="B26" s="81"/>
      <c r="C26" s="263">
        <f>D27+D31</f>
        <v>0</v>
      </c>
      <c r="D26" s="208"/>
      <c r="F26" s="2"/>
      <c r="G26" s="5"/>
      <c r="H26" s="2"/>
      <c r="L26" s="30" t="str">
        <f t="shared" si="0"/>
        <v/>
      </c>
      <c r="M26" s="144" t="s">
        <v>146</v>
      </c>
      <c r="N26" s="144"/>
      <c r="O26" s="142">
        <v>0</v>
      </c>
      <c r="Q26" s="150" t="s">
        <v>283</v>
      </c>
      <c r="R26" s="30" t="s">
        <v>292</v>
      </c>
    </row>
    <row r="27" spans="1:20" ht="15.75" thickBot="1" x14ac:dyDescent="0.3">
      <c r="A27" s="40"/>
      <c r="B27" s="47" t="s">
        <v>71</v>
      </c>
      <c r="C27" s="157"/>
      <c r="D27" s="156">
        <f>SUM(C28:D30)</f>
        <v>0</v>
      </c>
      <c r="F27" s="2"/>
      <c r="G27" s="5"/>
      <c r="H27" s="2"/>
      <c r="L27" s="30" t="str">
        <f t="shared" si="0"/>
        <v/>
      </c>
      <c r="M27" s="144"/>
      <c r="N27" s="144"/>
      <c r="O27" s="142"/>
      <c r="Q27" s="150" t="s">
        <v>284</v>
      </c>
      <c r="R27" s="30" t="s">
        <v>293</v>
      </c>
    </row>
    <row r="28" spans="1:20" ht="15" customHeight="1" x14ac:dyDescent="0.25">
      <c r="A28" s="46"/>
      <c r="B28" s="49" t="s">
        <v>72</v>
      </c>
      <c r="C28" s="197">
        <f>O233/100</f>
        <v>0</v>
      </c>
      <c r="D28" s="198"/>
      <c r="E28" s="146" t="s">
        <v>230</v>
      </c>
      <c r="F28" s="253"/>
      <c r="G28" s="5"/>
      <c r="H28" s="2"/>
      <c r="L28" s="30" t="str">
        <f t="shared" si="0"/>
        <v/>
      </c>
      <c r="M28" s="144"/>
      <c r="N28" s="144"/>
      <c r="O28" s="142"/>
      <c r="Q28" s="150" t="s">
        <v>285</v>
      </c>
      <c r="R28" s="30" t="s">
        <v>294</v>
      </c>
    </row>
    <row r="29" spans="1:20" x14ac:dyDescent="0.25">
      <c r="A29" s="46"/>
      <c r="B29" s="10" t="s">
        <v>73</v>
      </c>
      <c r="C29" s="138" t="s">
        <v>25</v>
      </c>
      <c r="D29" s="127">
        <f>IF(C29="ja",TRUNC(O268*8%/100,2),0)</f>
        <v>0</v>
      </c>
      <c r="E29" s="146" t="s">
        <v>236</v>
      </c>
      <c r="F29" s="253"/>
      <c r="G29" s="252" t="s">
        <v>243</v>
      </c>
      <c r="H29" s="252"/>
      <c r="L29" s="30" t="str">
        <f t="shared" si="0"/>
        <v/>
      </c>
      <c r="M29" s="144"/>
      <c r="N29" s="144"/>
      <c r="O29" s="142"/>
      <c r="Q29" s="150" t="s">
        <v>286</v>
      </c>
      <c r="R29" s="30" t="s">
        <v>270</v>
      </c>
    </row>
    <row r="30" spans="1:20" ht="15.75" thickBot="1" x14ac:dyDescent="0.3">
      <c r="A30" s="46" t="s">
        <v>74</v>
      </c>
      <c r="B30" s="82" t="s">
        <v>75</v>
      </c>
      <c r="C30" s="195">
        <f>O263/100</f>
        <v>0</v>
      </c>
      <c r="D30" s="196"/>
      <c r="E30" s="146" t="s">
        <v>235</v>
      </c>
      <c r="F30" s="253"/>
      <c r="L30" s="30" t="str">
        <f t="shared" si="0"/>
        <v/>
      </c>
      <c r="M30" s="153" t="s">
        <v>147</v>
      </c>
      <c r="N30" s="144"/>
      <c r="O30" s="142"/>
      <c r="R30" s="149" t="s">
        <v>267</v>
      </c>
      <c r="S30" s="149" t="s">
        <v>268</v>
      </c>
      <c r="T30" s="30" t="s">
        <v>275</v>
      </c>
    </row>
    <row r="31" spans="1:20" ht="15.75" thickBot="1" x14ac:dyDescent="0.3">
      <c r="A31" s="46"/>
      <c r="B31" s="83" t="s">
        <v>81</v>
      </c>
      <c r="C31" s="106"/>
      <c r="D31" s="156">
        <f>SUM(C32:D36)</f>
        <v>0</v>
      </c>
      <c r="E31" s="28"/>
      <c r="F31" s="128"/>
      <c r="G31" s="43" t="s">
        <v>17</v>
      </c>
      <c r="H31" s="43" t="s">
        <v>18</v>
      </c>
      <c r="I31" s="43" t="s">
        <v>19</v>
      </c>
      <c r="J31" s="43" t="s">
        <v>20</v>
      </c>
      <c r="L31" s="30" t="str">
        <f t="shared" si="0"/>
        <v/>
      </c>
      <c r="M31" s="153"/>
      <c r="N31" s="144"/>
      <c r="O31" s="142"/>
      <c r="R31" s="149" t="s">
        <v>272</v>
      </c>
      <c r="S31" s="149" t="s">
        <v>269</v>
      </c>
      <c r="T31" s="30" t="s">
        <v>276</v>
      </c>
    </row>
    <row r="32" spans="1:20" x14ac:dyDescent="0.25">
      <c r="A32" s="46"/>
      <c r="B32" s="49" t="s">
        <v>76</v>
      </c>
      <c r="C32" s="197">
        <f>IF($C$14="",0,VLOOKUP($C$14,'Beitragssätze SV'!$A$4:$B$7,2,FALSE)*$C$23/100)</f>
        <v>0</v>
      </c>
      <c r="D32" s="198"/>
      <c r="E32" s="28"/>
      <c r="F32" s="254"/>
      <c r="G32" s="103" t="str">
        <f t="shared" ref="G32:J36" si="1">IF($C$14=G$31,$C32,"")</f>
        <v/>
      </c>
      <c r="H32" s="103" t="str">
        <f t="shared" si="1"/>
        <v/>
      </c>
      <c r="I32" s="103" t="str">
        <f t="shared" si="1"/>
        <v/>
      </c>
      <c r="J32" s="103" t="str">
        <f t="shared" si="1"/>
        <v/>
      </c>
      <c r="L32" s="30" t="str">
        <f t="shared" si="0"/>
        <v/>
      </c>
      <c r="M32" s="153" t="s">
        <v>148</v>
      </c>
      <c r="N32" s="144"/>
      <c r="O32" s="142"/>
      <c r="Q32" s="150" t="s">
        <v>287</v>
      </c>
      <c r="R32" s="30" t="s">
        <v>271</v>
      </c>
    </row>
    <row r="33" spans="1:20" x14ac:dyDescent="0.25">
      <c r="A33" s="46"/>
      <c r="B33" s="10" t="s">
        <v>77</v>
      </c>
      <c r="C33" s="193">
        <f>VLOOKUP(TRIM($B33),'Beitragssätze SV'!$A$8:$B$11,2,FALSE)*$C$23/100</f>
        <v>0</v>
      </c>
      <c r="D33" s="194"/>
      <c r="E33" s="28"/>
      <c r="F33" s="254"/>
      <c r="G33" s="103" t="str">
        <f t="shared" si="1"/>
        <v/>
      </c>
      <c r="H33" s="103" t="str">
        <f t="shared" si="1"/>
        <v/>
      </c>
      <c r="I33" s="103" t="str">
        <f t="shared" si="1"/>
        <v/>
      </c>
      <c r="J33" s="103" t="str">
        <f t="shared" si="1"/>
        <v/>
      </c>
      <c r="L33" s="30" t="str">
        <f t="shared" si="0"/>
        <v/>
      </c>
      <c r="M33" s="151" t="s">
        <v>149</v>
      </c>
      <c r="N33" s="144"/>
      <c r="O33" s="142">
        <f>IF(OR(O8=0,O8=2),82800,77400)</f>
        <v>82800</v>
      </c>
      <c r="R33" s="149" t="s">
        <v>281</v>
      </c>
      <c r="S33" s="149" t="s">
        <v>280</v>
      </c>
      <c r="T33" s="149" t="s">
        <v>277</v>
      </c>
    </row>
    <row r="34" spans="1:20" x14ac:dyDescent="0.25">
      <c r="A34" s="46"/>
      <c r="B34" s="10" t="s">
        <v>78</v>
      </c>
      <c r="C34" s="193">
        <f>VLOOKUP(TRIM($B34),'Beitragssätze SV'!$A$8:$B$11,2,FALSE)*$C$23/100</f>
        <v>0</v>
      </c>
      <c r="D34" s="194"/>
      <c r="E34" s="28"/>
      <c r="F34" s="254"/>
      <c r="G34" s="103" t="str">
        <f t="shared" si="1"/>
        <v/>
      </c>
      <c r="H34" s="103" t="str">
        <f t="shared" si="1"/>
        <v/>
      </c>
      <c r="I34" s="103" t="str">
        <f t="shared" si="1"/>
        <v/>
      </c>
      <c r="J34" s="103" t="str">
        <f t="shared" si="1"/>
        <v/>
      </c>
      <c r="L34" s="30" t="str">
        <f t="shared" si="0"/>
        <v/>
      </c>
      <c r="M34" s="151" t="s">
        <v>150</v>
      </c>
      <c r="N34" s="144"/>
      <c r="O34" s="122">
        <v>9.2999999999999999E-2</v>
      </c>
      <c r="R34" s="149" t="s">
        <v>273</v>
      </c>
      <c r="S34" s="149" t="s">
        <v>280</v>
      </c>
      <c r="T34" s="149" t="s">
        <v>278</v>
      </c>
    </row>
    <row r="35" spans="1:20" x14ac:dyDescent="0.25">
      <c r="A35" s="46"/>
      <c r="B35" s="10" t="s">
        <v>79</v>
      </c>
      <c r="C35" s="193">
        <f>VLOOKUP(TRIM($B35),'Beitragssätze SV'!$A$8:$B$11,2,FALSE)*$C$23/100</f>
        <v>0</v>
      </c>
      <c r="D35" s="194"/>
      <c r="E35" s="28"/>
      <c r="F35" s="254"/>
      <c r="G35" s="103" t="str">
        <f t="shared" si="1"/>
        <v/>
      </c>
      <c r="H35" s="103" t="str">
        <f t="shared" si="1"/>
        <v/>
      </c>
      <c r="I35" s="103" t="str">
        <f t="shared" si="1"/>
        <v/>
      </c>
      <c r="J35" s="103" t="str">
        <f t="shared" si="1"/>
        <v/>
      </c>
      <c r="L35" s="30" t="str">
        <f t="shared" si="0"/>
        <v/>
      </c>
      <c r="M35" s="151" t="s">
        <v>151</v>
      </c>
      <c r="N35" s="144"/>
      <c r="O35" s="120">
        <v>0.8</v>
      </c>
      <c r="R35" s="149" t="s">
        <v>274</v>
      </c>
      <c r="S35" s="149" t="s">
        <v>280</v>
      </c>
      <c r="T35" s="149" t="s">
        <v>279</v>
      </c>
    </row>
    <row r="36" spans="1:20" ht="15.75" thickBot="1" x14ac:dyDescent="0.3">
      <c r="A36" s="56"/>
      <c r="B36" s="54" t="s">
        <v>80</v>
      </c>
      <c r="C36" s="193">
        <f>IF(C16="ja",VLOOKUP(TRIM($B36),'Beitragssätze SV'!$A$8:$B$11,2,FALSE)*$C$23/100,0)</f>
        <v>0</v>
      </c>
      <c r="D36" s="194"/>
      <c r="E36" s="28"/>
      <c r="F36" s="7"/>
      <c r="G36" s="103" t="str">
        <f t="shared" si="1"/>
        <v/>
      </c>
      <c r="H36" s="103" t="str">
        <f t="shared" si="1"/>
        <v/>
      </c>
      <c r="I36" s="103" t="str">
        <f t="shared" si="1"/>
        <v/>
      </c>
      <c r="J36" s="103" t="str">
        <f t="shared" si="1"/>
        <v/>
      </c>
      <c r="L36" s="30" t="str">
        <f t="shared" si="0"/>
        <v/>
      </c>
      <c r="M36" s="151" t="s">
        <v>152</v>
      </c>
      <c r="N36" s="144"/>
      <c r="O36" s="142">
        <v>56250</v>
      </c>
      <c r="Q36" s="150" t="s">
        <v>291</v>
      </c>
      <c r="R36" s="30" t="s">
        <v>288</v>
      </c>
    </row>
    <row r="37" spans="1:20" ht="15.75" thickBot="1" x14ac:dyDescent="0.3">
      <c r="A37" s="57" t="s">
        <v>13</v>
      </c>
      <c r="B37" s="42"/>
      <c r="C37" s="256">
        <f>C23-C26</f>
        <v>0</v>
      </c>
      <c r="D37" s="192"/>
      <c r="F37" s="6"/>
      <c r="G37" s="104">
        <f>SUM(G32:G36)</f>
        <v>0</v>
      </c>
      <c r="H37" s="104">
        <f>SUM(H32:H36)</f>
        <v>0</v>
      </c>
      <c r="I37" s="104">
        <f>SUM(I32:I36)</f>
        <v>0</v>
      </c>
      <c r="J37" s="104">
        <f>SUM(J32:J36)</f>
        <v>0</v>
      </c>
      <c r="L37" s="30" t="str">
        <f t="shared" si="0"/>
        <v/>
      </c>
      <c r="M37" s="151" t="s">
        <v>153</v>
      </c>
      <c r="N37" s="144"/>
      <c r="O37" s="123">
        <f>O9/2/100+0.07</f>
        <v>7.0000000000000007E-2</v>
      </c>
      <c r="Q37" s="150"/>
    </row>
    <row r="38" spans="1:20" ht="15.75" customHeight="1" thickBot="1" x14ac:dyDescent="0.3">
      <c r="A38" s="41" t="s">
        <v>14</v>
      </c>
      <c r="B38" s="42"/>
      <c r="C38" s="256">
        <f>C37</f>
        <v>0</v>
      </c>
      <c r="D38" s="192"/>
      <c r="F38" s="6"/>
      <c r="L38" s="30" t="str">
        <f t="shared" si="0"/>
        <v/>
      </c>
      <c r="M38" s="151" t="s">
        <v>154</v>
      </c>
      <c r="N38" s="144"/>
      <c r="O38" s="123">
        <f>0.0055+0.07</f>
        <v>7.5500000000000012E-2</v>
      </c>
      <c r="R38" s="66" t="s">
        <v>295</v>
      </c>
    </row>
    <row r="39" spans="1:20" x14ac:dyDescent="0.25">
      <c r="F39" s="2"/>
      <c r="G39" s="33"/>
      <c r="H39" s="33"/>
      <c r="I39" s="33"/>
      <c r="J39" s="33"/>
      <c r="L39" s="30" t="str">
        <f t="shared" si="0"/>
        <v/>
      </c>
      <c r="M39" s="151" t="s">
        <v>155</v>
      </c>
      <c r="N39" s="144"/>
      <c r="O39" s="123">
        <f>IF(O15=1,0.02025,0.01525)</f>
        <v>1.525E-2</v>
      </c>
    </row>
    <row r="40" spans="1:20" x14ac:dyDescent="0.25">
      <c r="F40" s="2"/>
      <c r="G40" s="1"/>
      <c r="L40" s="30" t="str">
        <f t="shared" si="0"/>
        <v/>
      </c>
      <c r="M40" s="151" t="s">
        <v>156</v>
      </c>
      <c r="N40" s="144"/>
      <c r="O40" s="123">
        <f>IF(O15=1,0.01025,0.01525)</f>
        <v>1.525E-2</v>
      </c>
      <c r="R40" s="66" t="s">
        <v>296</v>
      </c>
      <c r="S40" s="66" t="s">
        <v>7</v>
      </c>
    </row>
    <row r="41" spans="1:20" x14ac:dyDescent="0.25">
      <c r="L41" s="30" t="str">
        <f t="shared" si="0"/>
        <v/>
      </c>
      <c r="M41" s="151" t="s">
        <v>155</v>
      </c>
      <c r="N41" s="144"/>
      <c r="O41" s="123">
        <f>IF(O16=1,O39+0.0025,O39)</f>
        <v>1.525E-2</v>
      </c>
      <c r="R41" s="144" t="s">
        <v>138</v>
      </c>
      <c r="S41" s="126" t="s">
        <v>262</v>
      </c>
    </row>
    <row r="42" spans="1:20" ht="15" customHeight="1" x14ac:dyDescent="0.25">
      <c r="L42" s="30" t="str">
        <f t="shared" si="0"/>
        <v/>
      </c>
      <c r="M42" s="151" t="s">
        <v>157</v>
      </c>
      <c r="N42" s="144"/>
      <c r="O42" s="142">
        <v>10898</v>
      </c>
      <c r="R42" s="144" t="s">
        <v>140</v>
      </c>
      <c r="S42" s="126" t="s">
        <v>263</v>
      </c>
    </row>
    <row r="43" spans="1:20" ht="15" customHeight="1" x14ac:dyDescent="0.25">
      <c r="L43" s="30" t="str">
        <f t="shared" si="0"/>
        <v/>
      </c>
      <c r="M43" s="151" t="s">
        <v>158</v>
      </c>
      <c r="N43" s="144"/>
      <c r="O43" s="142">
        <v>28526</v>
      </c>
      <c r="R43" s="30" t="s">
        <v>230</v>
      </c>
      <c r="S43" s="158" t="s">
        <v>261</v>
      </c>
    </row>
    <row r="44" spans="1:20" x14ac:dyDescent="0.25">
      <c r="L44" s="30" t="str">
        <f t="shared" si="0"/>
        <v/>
      </c>
      <c r="M44" s="151" t="s">
        <v>159</v>
      </c>
      <c r="N44" s="144"/>
      <c r="O44" s="142">
        <v>216400</v>
      </c>
      <c r="R44" s="30" t="s">
        <v>235</v>
      </c>
      <c r="S44" s="158" t="s">
        <v>260</v>
      </c>
    </row>
    <row r="45" spans="1:20" x14ac:dyDescent="0.25">
      <c r="L45" s="30" t="str">
        <f t="shared" si="0"/>
        <v/>
      </c>
      <c r="M45" s="151" t="s">
        <v>160</v>
      </c>
      <c r="N45" s="144"/>
      <c r="O45" s="142">
        <v>9408</v>
      </c>
      <c r="R45" s="30" t="s">
        <v>236</v>
      </c>
      <c r="S45" s="146" t="s">
        <v>259</v>
      </c>
    </row>
    <row r="46" spans="1:20" x14ac:dyDescent="0.25">
      <c r="L46" s="30" t="str">
        <f t="shared" si="0"/>
        <v/>
      </c>
      <c r="M46" s="151" t="s">
        <v>161</v>
      </c>
      <c r="N46" s="144"/>
      <c r="O46" s="142">
        <v>972</v>
      </c>
    </row>
    <row r="47" spans="1:20" x14ac:dyDescent="0.25">
      <c r="L47" s="30" t="str">
        <f t="shared" si="0"/>
        <v/>
      </c>
      <c r="M47" s="151"/>
      <c r="N47" s="144"/>
      <c r="O47" s="142"/>
    </row>
    <row r="48" spans="1:20" x14ac:dyDescent="0.25">
      <c r="L48" s="30" t="str">
        <f t="shared" si="0"/>
        <v/>
      </c>
      <c r="M48" s="153" t="s">
        <v>162</v>
      </c>
      <c r="N48" s="144"/>
      <c r="O48" s="142"/>
    </row>
    <row r="49" spans="1:15" x14ac:dyDescent="0.25">
      <c r="L49" s="30" t="str">
        <f t="shared" si="0"/>
        <v/>
      </c>
      <c r="M49" s="151" t="s">
        <v>163</v>
      </c>
      <c r="N49" s="144"/>
      <c r="O49" s="120">
        <f>IF(O10=1,O18/100,IF(O10=2,O18*12/100,IF(O10=3,O18*360/7/100,O18*360/100)))</f>
        <v>0</v>
      </c>
    </row>
    <row r="50" spans="1:15" x14ac:dyDescent="0.25">
      <c r="L50" s="30" t="str">
        <f t="shared" si="0"/>
        <v/>
      </c>
      <c r="M50" s="151" t="s">
        <v>164</v>
      </c>
      <c r="N50" s="144"/>
      <c r="O50" s="120">
        <f>IF(O10=1,O21/100,IF(O10=2,O21*12/100,IF(O10=3,O21*360/7/100,O21*360/100)))</f>
        <v>0</v>
      </c>
    </row>
    <row r="51" spans="1:15" x14ac:dyDescent="0.25">
      <c r="L51" s="30" t="str">
        <f t="shared" si="0"/>
        <v/>
      </c>
      <c r="M51" s="151" t="s">
        <v>165</v>
      </c>
      <c r="N51" s="144"/>
      <c r="O51" s="120">
        <f>IF(O10=1,O11/100,IF(O10=2,O11*12/100,IF(O10=3,O11*360/7/100,O11*360/100)))</f>
        <v>0</v>
      </c>
    </row>
    <row r="52" spans="1:15" x14ac:dyDescent="0.25">
      <c r="L52" s="30" t="str">
        <f t="shared" si="0"/>
        <v/>
      </c>
      <c r="M52" s="151" t="s">
        <v>166</v>
      </c>
      <c r="N52" s="144"/>
      <c r="O52" s="120">
        <f>IF(O10=1,O12/100,IF(O10=2,O12*12/100,IF(O10=3,O12*360/7/100,O12*360/100)))</f>
        <v>0</v>
      </c>
    </row>
    <row r="53" spans="1:15" x14ac:dyDescent="0.25">
      <c r="L53" s="30" t="str">
        <f t="shared" si="0"/>
        <v/>
      </c>
      <c r="M53" s="151" t="s">
        <v>127</v>
      </c>
      <c r="N53" s="144"/>
      <c r="O53" s="119">
        <f>IF(O4=0,1,O7)</f>
        <v>1</v>
      </c>
    </row>
    <row r="54" spans="1:15" x14ac:dyDescent="0.25">
      <c r="L54" s="30" t="str">
        <f t="shared" si="0"/>
        <v/>
      </c>
      <c r="M54" s="151"/>
      <c r="N54" s="144"/>
      <c r="O54" s="142"/>
    </row>
    <row r="55" spans="1:15" x14ac:dyDescent="0.25">
      <c r="F55" s="2"/>
      <c r="L55" s="30" t="str">
        <f t="shared" si="0"/>
        <v/>
      </c>
      <c r="M55" s="153" t="s">
        <v>167</v>
      </c>
      <c r="N55" s="144"/>
      <c r="O55" s="142"/>
    </row>
    <row r="56" spans="1:15" x14ac:dyDescent="0.25">
      <c r="F56" s="2"/>
      <c r="G56" s="2"/>
      <c r="L56" s="30" t="str">
        <f t="shared" si="0"/>
        <v/>
      </c>
      <c r="M56" s="151" t="s">
        <v>168</v>
      </c>
      <c r="N56" s="144"/>
      <c r="O56" s="142">
        <f>IF(O50=0,0,IF(O24&lt;2006,1,IF(O24&lt;2040,O24-2004,36)))</f>
        <v>0</v>
      </c>
    </row>
    <row r="57" spans="1:15" x14ac:dyDescent="0.25">
      <c r="F57" s="2"/>
      <c r="L57" s="30" t="str">
        <f t="shared" si="0"/>
        <v/>
      </c>
      <c r="M57" s="151" t="s">
        <v>169</v>
      </c>
      <c r="N57" s="144"/>
      <c r="O57" s="119">
        <f>IF(O50=0,0,0.4-(O56-1)*0.016+IF(O56&gt;16,(O56-16)*0.008,0))</f>
        <v>0</v>
      </c>
    </row>
    <row r="58" spans="1:15" x14ac:dyDescent="0.25">
      <c r="F58" s="2"/>
      <c r="L58" s="30" t="str">
        <f t="shared" si="0"/>
        <v/>
      </c>
      <c r="M58" s="151" t="s">
        <v>170</v>
      </c>
      <c r="N58" s="144"/>
      <c r="O58" s="142">
        <f>IF(O50=0,0,3000-(O56-1)*120+IF(O56&gt;16,(O56-16)*60,0))</f>
        <v>0</v>
      </c>
    </row>
    <row r="59" spans="1:15" x14ac:dyDescent="0.25">
      <c r="F59" s="2"/>
      <c r="L59" s="30" t="str">
        <f t="shared" si="0"/>
        <v/>
      </c>
      <c r="M59" s="151" t="s">
        <v>171</v>
      </c>
      <c r="N59" s="144"/>
      <c r="O59" s="142">
        <f>IF(O50=0,0,900-(O56-1)*36+IF(O56&gt;16,(O56-16)*18,0))</f>
        <v>0</v>
      </c>
    </row>
    <row r="60" spans="1:15" x14ac:dyDescent="0.25">
      <c r="A60" s="2"/>
      <c r="B60" s="2"/>
      <c r="C60" s="2"/>
      <c r="D60" s="2"/>
      <c r="E60" s="2"/>
      <c r="F60" s="2"/>
      <c r="L60" s="30" t="str">
        <f t="shared" si="0"/>
        <v/>
      </c>
      <c r="M60" s="151" t="s">
        <v>172</v>
      </c>
      <c r="N60" s="144"/>
      <c r="O60" s="142">
        <f>IF(O50=0,0,IF(O10&lt;&gt;1,O22*12+O23,O22*O26+O23))</f>
        <v>0</v>
      </c>
    </row>
    <row r="61" spans="1:15" x14ac:dyDescent="0.25">
      <c r="A61" s="2"/>
      <c r="B61" s="2"/>
      <c r="C61" s="2"/>
      <c r="D61" s="2"/>
      <c r="E61" s="2"/>
      <c r="F61" s="2"/>
      <c r="L61" s="30" t="str">
        <f t="shared" si="0"/>
        <v/>
      </c>
      <c r="M61" s="151" t="s">
        <v>173</v>
      </c>
      <c r="N61" s="144"/>
      <c r="O61" s="142">
        <f>IF(O50=0,0,IF(O10&lt;&gt;1,O58,O58/12*O26))</f>
        <v>0</v>
      </c>
    </row>
    <row r="62" spans="1:15" x14ac:dyDescent="0.25">
      <c r="A62" s="2"/>
      <c r="B62" s="2"/>
      <c r="C62" s="2"/>
      <c r="D62" s="2"/>
      <c r="E62" s="2"/>
      <c r="F62" s="2"/>
      <c r="L62" s="30" t="str">
        <f t="shared" si="0"/>
        <v/>
      </c>
      <c r="M62" s="151" t="s">
        <v>174</v>
      </c>
      <c r="N62" s="144"/>
      <c r="O62" s="142">
        <f>IF(O50=0,0,IF(O10&lt;&gt;1,O59,ROUNDUP(O59/12*O26,0)))</f>
        <v>0</v>
      </c>
    </row>
    <row r="63" spans="1:15" x14ac:dyDescent="0.25">
      <c r="L63" s="30" t="str">
        <f t="shared" si="0"/>
        <v/>
      </c>
      <c r="M63" s="151" t="s">
        <v>175</v>
      </c>
      <c r="N63" s="144"/>
      <c r="O63" s="120">
        <f>IF(O50=0,0,ROUNDUP(O60*O57/100,2))</f>
        <v>0</v>
      </c>
    </row>
    <row r="64" spans="1:15" x14ac:dyDescent="0.25">
      <c r="L64" s="30" t="str">
        <f t="shared" si="0"/>
        <v/>
      </c>
      <c r="M64" s="151" t="s">
        <v>175</v>
      </c>
      <c r="N64" s="144"/>
      <c r="O64" s="120">
        <f>IF(O63&gt;O61,O61,O63)</f>
        <v>0</v>
      </c>
    </row>
    <row r="65" spans="12:15" x14ac:dyDescent="0.25">
      <c r="L65" s="30" t="str">
        <f t="shared" si="0"/>
        <v/>
      </c>
      <c r="M65" s="151" t="s">
        <v>176</v>
      </c>
      <c r="N65" s="144"/>
      <c r="O65" s="120">
        <f>O60/100-O64</f>
        <v>0</v>
      </c>
    </row>
    <row r="66" spans="12:15" x14ac:dyDescent="0.25">
      <c r="L66" s="30" t="str">
        <f t="shared" si="0"/>
        <v/>
      </c>
      <c r="M66" s="151" t="s">
        <v>174</v>
      </c>
      <c r="N66" s="144"/>
      <c r="O66" s="142">
        <f>IF(O62&gt;O65,ROUNDUP(O65,0),O62)</f>
        <v>0</v>
      </c>
    </row>
    <row r="67" spans="12:15" x14ac:dyDescent="0.25">
      <c r="L67" s="30" t="str">
        <f t="shared" si="0"/>
        <v/>
      </c>
      <c r="M67" s="151"/>
      <c r="N67" s="144"/>
      <c r="O67" s="142"/>
    </row>
    <row r="68" spans="12:15" x14ac:dyDescent="0.25">
      <c r="L68" s="30" t="str">
        <f t="shared" si="0"/>
        <v/>
      </c>
      <c r="M68" s="153" t="s">
        <v>177</v>
      </c>
      <c r="N68" s="144"/>
      <c r="O68" s="142"/>
    </row>
    <row r="69" spans="12:15" x14ac:dyDescent="0.25">
      <c r="L69" s="30" t="str">
        <f t="shared" ref="L69:L132" si="2">IF(M69=$R$41,$S$41,IF(M69=$R$42,$S$42,IF(M69=$R$43,$S$43,IF(M69=$R$44,$S$44,IF(M69=$R$45,$S$45,"")))))</f>
        <v/>
      </c>
      <c r="M69" s="151" t="s">
        <v>178</v>
      </c>
      <c r="N69" s="144"/>
      <c r="O69" s="142">
        <f>IF(O6=0,0,IF(O5&lt;2006,1,IF(O5&lt;2040,O5-2004,36)))</f>
        <v>0</v>
      </c>
    </row>
    <row r="70" spans="12:15" x14ac:dyDescent="0.25">
      <c r="L70" s="30" t="str">
        <f t="shared" si="2"/>
        <v/>
      </c>
      <c r="M70" s="144" t="s">
        <v>179</v>
      </c>
      <c r="N70" s="144"/>
      <c r="O70" s="119">
        <f>IF(O6=0,0,0.4-(O69-1)*0.016+IF(O69&gt;16,(O69-16)*0.008,0))</f>
        <v>0</v>
      </c>
    </row>
    <row r="71" spans="12:15" x14ac:dyDescent="0.25">
      <c r="L71" s="30" t="str">
        <f t="shared" si="2"/>
        <v/>
      </c>
      <c r="M71" s="144" t="s">
        <v>180</v>
      </c>
      <c r="N71" s="144"/>
      <c r="O71" s="142">
        <f>IF(O6=0,0,1900-(O69-1)*76+IF(O69&gt;16,(O69-16)*38,0))</f>
        <v>0</v>
      </c>
    </row>
    <row r="72" spans="12:15" x14ac:dyDescent="0.25">
      <c r="L72" s="30" t="str">
        <f t="shared" si="2"/>
        <v/>
      </c>
      <c r="M72" s="144" t="s">
        <v>181</v>
      </c>
      <c r="N72" s="144"/>
      <c r="O72" s="120">
        <f>IF(O6=0,0,O49-O50)</f>
        <v>0</v>
      </c>
    </row>
    <row r="73" spans="12:15" x14ac:dyDescent="0.25">
      <c r="L73" s="30" t="str">
        <f t="shared" si="2"/>
        <v/>
      </c>
      <c r="M73" s="144" t="s">
        <v>182</v>
      </c>
      <c r="N73" s="144"/>
      <c r="O73" s="120">
        <f>IF(O6=0,0,ROUNDUP(O72*O70,2))</f>
        <v>0</v>
      </c>
    </row>
    <row r="74" spans="12:15" x14ac:dyDescent="0.25">
      <c r="L74" s="30" t="str">
        <f t="shared" si="2"/>
        <v/>
      </c>
      <c r="M74" s="152" t="s">
        <v>183</v>
      </c>
      <c r="N74" s="144"/>
      <c r="O74" s="142">
        <f>O71</f>
        <v>0</v>
      </c>
    </row>
    <row r="75" spans="12:15" x14ac:dyDescent="0.25">
      <c r="L75" s="30" t="str">
        <f t="shared" si="2"/>
        <v/>
      </c>
      <c r="M75" s="152" t="s">
        <v>182</v>
      </c>
      <c r="N75" s="144"/>
      <c r="O75" s="120">
        <f>IF(O73&gt;O74,O74,O73)</f>
        <v>0</v>
      </c>
    </row>
    <row r="76" spans="12:15" x14ac:dyDescent="0.25">
      <c r="L76" s="30" t="str">
        <f t="shared" si="2"/>
        <v/>
      </c>
      <c r="M76" s="151"/>
      <c r="N76" s="144"/>
      <c r="O76" s="142"/>
    </row>
    <row r="77" spans="12:15" x14ac:dyDescent="0.25">
      <c r="L77" s="30" t="str">
        <f t="shared" si="2"/>
        <v/>
      </c>
      <c r="M77" s="153" t="s">
        <v>184</v>
      </c>
      <c r="N77" s="144"/>
      <c r="O77" s="142"/>
    </row>
    <row r="78" spans="12:15" x14ac:dyDescent="0.25">
      <c r="L78" s="30" t="str">
        <f t="shared" si="2"/>
        <v/>
      </c>
      <c r="M78" s="151" t="s">
        <v>185</v>
      </c>
      <c r="N78" s="144"/>
      <c r="O78" s="120">
        <f>O49-O64-O75-O51+O52</f>
        <v>0</v>
      </c>
    </row>
    <row r="79" spans="12:15" x14ac:dyDescent="0.25">
      <c r="L79" s="30" t="str">
        <f t="shared" si="2"/>
        <v/>
      </c>
      <c r="M79" s="151" t="s">
        <v>185</v>
      </c>
      <c r="N79" s="144"/>
      <c r="O79" s="120">
        <f>IF(O78&lt;0,0,O78)</f>
        <v>0</v>
      </c>
    </row>
    <row r="80" spans="12:15" x14ac:dyDescent="0.25">
      <c r="L80" s="30" t="str">
        <f t="shared" si="2"/>
        <v/>
      </c>
      <c r="M80" s="151" t="s">
        <v>186</v>
      </c>
      <c r="N80" s="144"/>
      <c r="O80" s="120">
        <f>O49</f>
        <v>0</v>
      </c>
    </row>
    <row r="81" spans="12:15" x14ac:dyDescent="0.25">
      <c r="L81" s="30" t="str">
        <f t="shared" si="2"/>
        <v/>
      </c>
      <c r="M81" s="151" t="s">
        <v>187</v>
      </c>
      <c r="N81" s="144"/>
      <c r="O81" s="120">
        <f>O50-O64</f>
        <v>0</v>
      </c>
    </row>
    <row r="82" spans="12:15" x14ac:dyDescent="0.25">
      <c r="L82" s="30" t="str">
        <f t="shared" si="2"/>
        <v/>
      </c>
      <c r="M82" s="151" t="s">
        <v>187</v>
      </c>
      <c r="N82" s="144"/>
      <c r="O82" s="120">
        <f>IF(O81&lt;0,0,O81)</f>
        <v>0</v>
      </c>
    </row>
    <row r="83" spans="12:15" x14ac:dyDescent="0.25">
      <c r="L83" s="30" t="str">
        <f t="shared" si="2"/>
        <v/>
      </c>
      <c r="M83" s="151"/>
      <c r="N83" s="144"/>
      <c r="O83" s="142"/>
    </row>
    <row r="84" spans="12:15" x14ac:dyDescent="0.25">
      <c r="L84" s="30" t="str">
        <f t="shared" si="2"/>
        <v/>
      </c>
      <c r="M84" s="153" t="s">
        <v>257</v>
      </c>
      <c r="N84" s="144"/>
      <c r="O84" s="142"/>
    </row>
    <row r="85" spans="12:15" x14ac:dyDescent="0.25">
      <c r="L85" s="30" t="str">
        <f t="shared" si="2"/>
        <v/>
      </c>
      <c r="M85" s="151"/>
      <c r="N85" s="144"/>
      <c r="O85" s="142"/>
    </row>
    <row r="86" spans="12:15" x14ac:dyDescent="0.25">
      <c r="L86" s="30" t="str">
        <f t="shared" si="2"/>
        <v/>
      </c>
      <c r="M86" s="153" t="s">
        <v>188</v>
      </c>
      <c r="N86" s="144"/>
      <c r="O86" s="142"/>
    </row>
    <row r="87" spans="12:15" x14ac:dyDescent="0.25">
      <c r="L87" s="30" t="str">
        <f t="shared" si="2"/>
        <v/>
      </c>
      <c r="M87" s="144" t="s">
        <v>189</v>
      </c>
      <c r="N87" s="144"/>
      <c r="O87" s="142">
        <f>IF(O20=3,2,1)</f>
        <v>1</v>
      </c>
    </row>
    <row r="88" spans="12:15" x14ac:dyDescent="0.25">
      <c r="L88" s="30" t="str">
        <f t="shared" si="2"/>
        <v/>
      </c>
      <c r="M88" s="152" t="s">
        <v>190</v>
      </c>
      <c r="N88" s="144"/>
      <c r="O88" s="142">
        <f>IF(O20&gt;5,0,IF(O82=0,0,IF(O82-IF(O82&lt;O66,O82,O66)&lt;102,O82-IF(O82&lt;O66,O82,O66),102)))+IF(O20&gt;5,0,IF(O79=O82,0,IF(O79-O82&lt;1000,O79-O82,1000)))</f>
        <v>0</v>
      </c>
    </row>
    <row r="89" spans="12:15" x14ac:dyDescent="0.25">
      <c r="L89" s="30" t="str">
        <f t="shared" si="2"/>
        <v/>
      </c>
      <c r="M89" s="144" t="s">
        <v>191</v>
      </c>
      <c r="N89" s="144"/>
      <c r="O89" s="142">
        <f>IF(O20=2,1908,0)</f>
        <v>0</v>
      </c>
    </row>
    <row r="90" spans="12:15" x14ac:dyDescent="0.25">
      <c r="L90" s="30" t="str">
        <f t="shared" si="2"/>
        <v/>
      </c>
      <c r="M90" s="144" t="s">
        <v>192</v>
      </c>
      <c r="N90" s="144"/>
      <c r="O90" s="142">
        <f>IF(O20&gt;5,0,36)</f>
        <v>36</v>
      </c>
    </row>
    <row r="91" spans="12:15" x14ac:dyDescent="0.25">
      <c r="L91" s="30" t="str">
        <f t="shared" si="2"/>
        <v/>
      </c>
      <c r="M91" s="144" t="s">
        <v>193</v>
      </c>
      <c r="N91" s="144"/>
      <c r="O91" s="142">
        <f>IF(O20&lt;4,O25*7812,IF(O20=4,O25*3906,0))</f>
        <v>0</v>
      </c>
    </row>
    <row r="92" spans="12:15" x14ac:dyDescent="0.25">
      <c r="L92" s="30" t="str">
        <f t="shared" si="2"/>
        <v/>
      </c>
      <c r="M92" s="152" t="s">
        <v>194</v>
      </c>
      <c r="N92" s="144"/>
      <c r="O92" s="142">
        <f>O89+O88+O90+IF(O82&lt;O66,O82,O66)</f>
        <v>36</v>
      </c>
    </row>
    <row r="93" spans="12:15" x14ac:dyDescent="0.25">
      <c r="L93" s="30" t="str">
        <f t="shared" si="2"/>
        <v/>
      </c>
      <c r="M93" s="152"/>
      <c r="N93" s="144"/>
      <c r="O93" s="120"/>
    </row>
    <row r="94" spans="12:15" x14ac:dyDescent="0.25">
      <c r="L94" s="30" t="str">
        <f t="shared" si="2"/>
        <v/>
      </c>
      <c r="M94" s="153" t="s">
        <v>195</v>
      </c>
      <c r="N94" s="144"/>
      <c r="O94" s="120"/>
    </row>
    <row r="95" spans="12:15" x14ac:dyDescent="0.25">
      <c r="L95" s="30" t="str">
        <f t="shared" si="2"/>
        <v/>
      </c>
      <c r="M95" s="151"/>
      <c r="N95" s="144"/>
      <c r="O95" s="120"/>
    </row>
    <row r="96" spans="12:15" x14ac:dyDescent="0.25">
      <c r="L96" s="30" t="str">
        <f t="shared" si="2"/>
        <v/>
      </c>
      <c r="M96" s="153" t="s">
        <v>196</v>
      </c>
      <c r="N96" s="144"/>
      <c r="O96" s="120"/>
    </row>
    <row r="97" spans="12:15" x14ac:dyDescent="0.25">
      <c r="L97" s="30" t="str">
        <f t="shared" si="2"/>
        <v/>
      </c>
      <c r="M97" s="151" t="s">
        <v>197</v>
      </c>
      <c r="N97" s="144"/>
      <c r="O97" s="120">
        <v>0</v>
      </c>
    </row>
    <row r="98" spans="12:15" x14ac:dyDescent="0.25">
      <c r="L98" s="30" t="str">
        <f t="shared" si="2"/>
        <v/>
      </c>
      <c r="M98" s="144" t="s">
        <v>186</v>
      </c>
      <c r="N98" s="144"/>
      <c r="O98" s="120">
        <f>IF(O80&gt;O33,O33,O80)</f>
        <v>0</v>
      </c>
    </row>
    <row r="99" spans="12:15" x14ac:dyDescent="0.25">
      <c r="L99" s="30" t="str">
        <f t="shared" si="2"/>
        <v/>
      </c>
      <c r="M99" s="144" t="s">
        <v>197</v>
      </c>
      <c r="N99" s="144"/>
      <c r="O99" s="120">
        <f>TRUNC((O35*O98)*O34,2)</f>
        <v>0</v>
      </c>
    </row>
    <row r="100" spans="12:15" x14ac:dyDescent="0.25">
      <c r="L100" s="30" t="str">
        <f t="shared" si="2"/>
        <v/>
      </c>
      <c r="M100" s="151" t="s">
        <v>197</v>
      </c>
      <c r="N100" s="144"/>
      <c r="O100" s="120">
        <f>IF(O8&gt;1,O97,O99)</f>
        <v>0</v>
      </c>
    </row>
    <row r="101" spans="12:15" x14ac:dyDescent="0.25">
      <c r="L101" s="30" t="str">
        <f t="shared" si="2"/>
        <v/>
      </c>
      <c r="M101" s="151" t="s">
        <v>198</v>
      </c>
      <c r="N101" s="144"/>
      <c r="O101" s="120">
        <f>TRUNC(0.12*O98,2)</f>
        <v>0</v>
      </c>
    </row>
    <row r="102" spans="12:15" x14ac:dyDescent="0.25">
      <c r="L102" s="30" t="str">
        <f t="shared" si="2"/>
        <v/>
      </c>
      <c r="M102" s="151" t="s">
        <v>199</v>
      </c>
      <c r="N102" s="144"/>
      <c r="O102" s="120">
        <f>IF(O20=3,3000,1900)</f>
        <v>1900</v>
      </c>
    </row>
    <row r="103" spans="12:15" x14ac:dyDescent="0.25">
      <c r="L103" s="30" t="str">
        <f t="shared" si="2"/>
        <v/>
      </c>
      <c r="M103" s="151" t="s">
        <v>198</v>
      </c>
      <c r="N103" s="144"/>
      <c r="O103" s="120">
        <f>IF(O101&gt;O102,O102,O101)</f>
        <v>0</v>
      </c>
    </row>
    <row r="104" spans="12:15" x14ac:dyDescent="0.25">
      <c r="L104" s="30" t="str">
        <f t="shared" si="2"/>
        <v/>
      </c>
      <c r="M104" s="151" t="s">
        <v>200</v>
      </c>
      <c r="N104" s="144"/>
      <c r="O104" s="142">
        <f>ROUNDUP(O100+O103,0)</f>
        <v>0</v>
      </c>
    </row>
    <row r="105" spans="12:15" x14ac:dyDescent="0.25">
      <c r="L105" s="30" t="str">
        <f t="shared" si="2"/>
        <v/>
      </c>
      <c r="M105" s="151"/>
      <c r="N105" s="144"/>
      <c r="O105" s="120"/>
    </row>
    <row r="106" spans="12:15" x14ac:dyDescent="0.25">
      <c r="L106" s="30" t="str">
        <f t="shared" si="2"/>
        <v/>
      </c>
      <c r="M106" s="154" t="s">
        <v>201</v>
      </c>
      <c r="N106" s="144"/>
      <c r="O106" s="120"/>
    </row>
    <row r="107" spans="12:15" x14ac:dyDescent="0.25">
      <c r="L107" s="30" t="str">
        <f t="shared" si="2"/>
        <v/>
      </c>
      <c r="M107" s="144" t="s">
        <v>186</v>
      </c>
      <c r="N107" s="144"/>
      <c r="O107" s="120">
        <f>IF(O98&gt;O36,O36,O98)</f>
        <v>0</v>
      </c>
    </row>
    <row r="108" spans="12:15" x14ac:dyDescent="0.25">
      <c r="L108" s="30" t="str">
        <f t="shared" si="2"/>
        <v/>
      </c>
      <c r="M108" s="151" t="s">
        <v>202</v>
      </c>
      <c r="N108" s="144"/>
      <c r="O108" s="120">
        <f>TRUNC(O107*(O37+O41),2)</f>
        <v>0</v>
      </c>
    </row>
    <row r="109" spans="12:15" x14ac:dyDescent="0.25">
      <c r="L109" s="30" t="str">
        <f t="shared" si="2"/>
        <v/>
      </c>
      <c r="M109" s="151" t="s">
        <v>203</v>
      </c>
      <c r="N109" s="144"/>
      <c r="O109" s="120">
        <v>0</v>
      </c>
    </row>
    <row r="110" spans="12:15" x14ac:dyDescent="0.25">
      <c r="L110" s="30" t="str">
        <f t="shared" si="2"/>
        <v/>
      </c>
      <c r="M110" s="151" t="s">
        <v>204</v>
      </c>
      <c r="N110" s="144"/>
      <c r="O110" s="120">
        <f>O13*12/100</f>
        <v>0</v>
      </c>
    </row>
    <row r="111" spans="12:15" x14ac:dyDescent="0.25">
      <c r="L111" s="30" t="str">
        <f t="shared" si="2"/>
        <v/>
      </c>
      <c r="M111" s="151" t="s">
        <v>205</v>
      </c>
      <c r="N111" s="144"/>
      <c r="O111" s="120">
        <f>O110-TRUNC(O107*(O38+O40),2)</f>
        <v>0</v>
      </c>
    </row>
    <row r="112" spans="12:15" x14ac:dyDescent="0.25">
      <c r="L112" s="30" t="str">
        <f t="shared" si="2"/>
        <v/>
      </c>
      <c r="M112" s="151" t="s">
        <v>206</v>
      </c>
      <c r="N112" s="144"/>
      <c r="O112" s="120">
        <f>IF(O14=0,O108,IF(AND(O14&gt;0,O20=6),O109,IF(O14=1,O110,O111)))</f>
        <v>0</v>
      </c>
    </row>
    <row r="113" spans="12:15" x14ac:dyDescent="0.25">
      <c r="L113" s="30" t="str">
        <f t="shared" si="2"/>
        <v/>
      </c>
      <c r="M113" s="155" t="s">
        <v>207</v>
      </c>
      <c r="N113" s="144"/>
      <c r="O113" s="120">
        <f>ROUNDUP(O112+O100,0)</f>
        <v>0</v>
      </c>
    </row>
    <row r="114" spans="12:15" x14ac:dyDescent="0.25">
      <c r="L114" s="30" t="str">
        <f t="shared" si="2"/>
        <v/>
      </c>
      <c r="M114" s="155"/>
      <c r="N114" s="144"/>
      <c r="O114" s="120"/>
    </row>
    <row r="115" spans="12:15" x14ac:dyDescent="0.25">
      <c r="L115" s="30" t="str">
        <f t="shared" si="2"/>
        <v/>
      </c>
      <c r="M115" s="153" t="s">
        <v>196</v>
      </c>
      <c r="N115" s="144"/>
      <c r="O115" s="120"/>
    </row>
    <row r="116" spans="12:15" x14ac:dyDescent="0.25">
      <c r="L116" s="30" t="str">
        <f t="shared" si="2"/>
        <v/>
      </c>
      <c r="M116" s="155" t="s">
        <v>207</v>
      </c>
      <c r="N116" s="144"/>
      <c r="O116" s="142">
        <f>IF(O104&gt;O113,O104,O113)</f>
        <v>0</v>
      </c>
    </row>
    <row r="117" spans="12:15" x14ac:dyDescent="0.25">
      <c r="L117" s="30" t="str">
        <f t="shared" si="2"/>
        <v/>
      </c>
      <c r="M117" s="155"/>
      <c r="N117" s="144"/>
      <c r="O117" s="120"/>
    </row>
    <row r="118" spans="12:15" x14ac:dyDescent="0.25">
      <c r="L118" s="30" t="str">
        <f t="shared" si="2"/>
        <v/>
      </c>
      <c r="M118" s="153" t="s">
        <v>195</v>
      </c>
      <c r="N118" s="144"/>
      <c r="O118" s="120"/>
    </row>
    <row r="119" spans="12:15" x14ac:dyDescent="0.25">
      <c r="L119" s="30" t="str">
        <f t="shared" si="2"/>
        <v/>
      </c>
      <c r="M119" s="144" t="s">
        <v>208</v>
      </c>
      <c r="N119" s="144"/>
      <c r="O119" s="120">
        <f>O79-O92-O116</f>
        <v>-36</v>
      </c>
    </row>
    <row r="120" spans="12:15" x14ac:dyDescent="0.25">
      <c r="L120" s="30" t="str">
        <f t="shared" si="2"/>
        <v/>
      </c>
      <c r="M120" s="144"/>
      <c r="N120" s="144"/>
      <c r="O120" s="120"/>
    </row>
    <row r="121" spans="12:15" x14ac:dyDescent="0.25">
      <c r="L121" s="30" t="str">
        <f t="shared" si="2"/>
        <v/>
      </c>
      <c r="M121" s="153" t="s">
        <v>209</v>
      </c>
      <c r="N121" s="144"/>
      <c r="O121" s="142"/>
    </row>
    <row r="122" spans="12:15" x14ac:dyDescent="0.25">
      <c r="L122" s="30" t="str">
        <f t="shared" si="2"/>
        <v/>
      </c>
      <c r="M122" s="144" t="s">
        <v>210</v>
      </c>
      <c r="N122" s="144"/>
      <c r="O122" s="142">
        <f>IF(O119&lt;1,0,ROUNDDOWN(O119/O87,0))</f>
        <v>0</v>
      </c>
    </row>
    <row r="123" spans="12:15" x14ac:dyDescent="0.25">
      <c r="L123" s="30" t="str">
        <f t="shared" si="2"/>
        <v/>
      </c>
      <c r="M123" s="144"/>
      <c r="N123" s="144"/>
      <c r="O123" s="142"/>
    </row>
    <row r="124" spans="12:15" x14ac:dyDescent="0.25">
      <c r="L124" s="30" t="str">
        <f t="shared" si="2"/>
        <v/>
      </c>
      <c r="M124" s="153" t="s">
        <v>258</v>
      </c>
      <c r="N124" s="144"/>
      <c r="O124" s="124"/>
    </row>
    <row r="125" spans="12:15" x14ac:dyDescent="0.25">
      <c r="L125" s="30" t="str">
        <f t="shared" si="2"/>
        <v/>
      </c>
      <c r="M125" s="144" t="s">
        <v>211</v>
      </c>
      <c r="N125" s="144"/>
      <c r="O125" s="142">
        <v>0</v>
      </c>
    </row>
    <row r="126" spans="12:15" x14ac:dyDescent="0.25">
      <c r="L126" s="30" t="str">
        <f t="shared" si="2"/>
        <v/>
      </c>
      <c r="M126" s="144" t="s">
        <v>212</v>
      </c>
      <c r="N126" s="144"/>
      <c r="O126" s="142">
        <f>IF(O20&gt;4,0,TRUNC((O122-O45)/10000,6))</f>
        <v>-0.94079999999999997</v>
      </c>
    </row>
    <row r="127" spans="12:15" x14ac:dyDescent="0.25">
      <c r="L127" s="30" t="str">
        <f t="shared" si="2"/>
        <v/>
      </c>
      <c r="M127" s="144" t="s">
        <v>213</v>
      </c>
      <c r="N127" s="144"/>
      <c r="O127" s="142">
        <f>O126*972.87</f>
        <v>-915.27609599999994</v>
      </c>
    </row>
    <row r="128" spans="12:15" x14ac:dyDescent="0.25">
      <c r="L128" s="30" t="str">
        <f t="shared" si="2"/>
        <v/>
      </c>
      <c r="M128" s="144" t="s">
        <v>213</v>
      </c>
      <c r="N128" s="144"/>
      <c r="O128" s="124">
        <f>IF(O20&gt;4,0,O127+1400)</f>
        <v>484.72390400000006</v>
      </c>
    </row>
    <row r="129" spans="12:15" x14ac:dyDescent="0.25">
      <c r="L129" s="30" t="str">
        <f t="shared" si="2"/>
        <v/>
      </c>
      <c r="M129" s="144" t="s">
        <v>211</v>
      </c>
      <c r="N129" s="144"/>
      <c r="O129" s="142">
        <f>ROUNDDOWN(O128*O126,0)</f>
        <v>-456</v>
      </c>
    </row>
    <row r="130" spans="12:15" x14ac:dyDescent="0.25">
      <c r="L130" s="30" t="str">
        <f t="shared" si="2"/>
        <v/>
      </c>
      <c r="M130" s="144" t="s">
        <v>212</v>
      </c>
      <c r="N130" s="144"/>
      <c r="O130" s="142">
        <f>IF(O20&gt;4,0,TRUNC((O122-14532)/10000,6))</f>
        <v>-1.4532</v>
      </c>
    </row>
    <row r="131" spans="12:15" x14ac:dyDescent="0.25">
      <c r="L131" s="30" t="str">
        <f t="shared" si="2"/>
        <v/>
      </c>
      <c r="M131" s="144" t="s">
        <v>213</v>
      </c>
      <c r="N131" s="144"/>
      <c r="O131" s="142">
        <f>O130*212.02</f>
        <v>-308.10746400000005</v>
      </c>
    </row>
    <row r="132" spans="12:15" x14ac:dyDescent="0.25">
      <c r="L132" s="30" t="str">
        <f t="shared" si="2"/>
        <v/>
      </c>
      <c r="M132" s="144" t="s">
        <v>213</v>
      </c>
      <c r="N132" s="144"/>
      <c r="O132" s="142">
        <f>IF(O20&gt;4,0,O131+2397)</f>
        <v>2088.8925359999998</v>
      </c>
    </row>
    <row r="133" spans="12:15" x14ac:dyDescent="0.25">
      <c r="L133" s="30" t="str">
        <f t="shared" ref="L133:L196" si="3">IF(M133=$R$41,$S$41,IF(M133=$R$42,$S$42,IF(M133=$R$43,$S$43,IF(M133=$R$44,$S$44,IF(M133=$R$45,$S$45,"")))))</f>
        <v/>
      </c>
      <c r="M133" s="144" t="s">
        <v>213</v>
      </c>
      <c r="N133" s="144"/>
      <c r="O133" s="142">
        <f>O132*O130</f>
        <v>-3035.5786333152</v>
      </c>
    </row>
    <row r="134" spans="12:15" x14ac:dyDescent="0.25">
      <c r="L134" s="30" t="str">
        <f t="shared" si="3"/>
        <v/>
      </c>
      <c r="M134" s="144" t="s">
        <v>211</v>
      </c>
      <c r="N134" s="144"/>
      <c r="O134" s="142">
        <f>IF(O20&gt;4,0,ROUNDDOWN(O133+972.79,0))</f>
        <v>-2062</v>
      </c>
    </row>
    <row r="135" spans="12:15" x14ac:dyDescent="0.25">
      <c r="L135" s="30" t="str">
        <f t="shared" si="3"/>
        <v/>
      </c>
      <c r="M135" s="144" t="s">
        <v>211</v>
      </c>
      <c r="N135" s="144"/>
      <c r="O135" s="142">
        <f>IF(O20&gt;4,0,ROUNDDOWN((O122*0.42)-8963.74,0))</f>
        <v>-8963</v>
      </c>
    </row>
    <row r="136" spans="12:15" x14ac:dyDescent="0.25">
      <c r="L136" s="30" t="str">
        <f t="shared" si="3"/>
        <v/>
      </c>
      <c r="M136" s="144" t="s">
        <v>211</v>
      </c>
      <c r="N136" s="144"/>
      <c r="O136" s="142">
        <f>IF(O20&gt;4,0,ROUNDDOWN((O122*0.45)-17078.74,0))</f>
        <v>-17078</v>
      </c>
    </row>
    <row r="137" spans="12:15" x14ac:dyDescent="0.25">
      <c r="L137" s="30" t="str">
        <f t="shared" si="3"/>
        <v/>
      </c>
      <c r="M137" s="144" t="s">
        <v>211</v>
      </c>
      <c r="N137" s="144"/>
      <c r="O137" s="142">
        <f>IF(O122&lt;O45+1,O125,IF(O122&lt;14533,O129*O87,IF(O122&lt;57052,O134*O87,IF(O122&lt;270501,O135*O87,O136*O87))))</f>
        <v>0</v>
      </c>
    </row>
    <row r="138" spans="12:15" x14ac:dyDescent="0.25">
      <c r="L138" s="30" t="str">
        <f t="shared" si="3"/>
        <v/>
      </c>
      <c r="M138" s="144"/>
      <c r="N138" s="144"/>
      <c r="O138" s="125"/>
    </row>
    <row r="139" spans="12:15" x14ac:dyDescent="0.25">
      <c r="L139" s="30" t="str">
        <f t="shared" si="3"/>
        <v/>
      </c>
      <c r="M139" s="153" t="s">
        <v>214</v>
      </c>
      <c r="N139" s="144"/>
      <c r="O139" s="142"/>
    </row>
    <row r="140" spans="12:15" x14ac:dyDescent="0.25">
      <c r="L140" s="30" t="str">
        <f t="shared" si="3"/>
        <v/>
      </c>
      <c r="M140" s="144" t="s">
        <v>215</v>
      </c>
      <c r="N140" s="144"/>
      <c r="O140" s="142">
        <f>IF(O20&gt;4,O122,0)</f>
        <v>0</v>
      </c>
    </row>
    <row r="141" spans="12:15" x14ac:dyDescent="0.25">
      <c r="L141" s="30" t="str">
        <f t="shared" si="3"/>
        <v/>
      </c>
      <c r="M141" s="144" t="s">
        <v>216</v>
      </c>
      <c r="N141" s="144"/>
      <c r="O141" s="142">
        <f>IF(O140&gt;O43,O43,O140)</f>
        <v>0</v>
      </c>
    </row>
    <row r="142" spans="12:15" x14ac:dyDescent="0.25">
      <c r="L142" s="30" t="str">
        <f t="shared" si="3"/>
        <v/>
      </c>
      <c r="M142" s="144"/>
      <c r="N142" s="144"/>
      <c r="O142" s="120"/>
    </row>
    <row r="143" spans="12:15" x14ac:dyDescent="0.25">
      <c r="L143" s="30" t="str">
        <f t="shared" si="3"/>
        <v/>
      </c>
      <c r="M143" s="153" t="s">
        <v>217</v>
      </c>
      <c r="N143" s="144"/>
      <c r="O143" s="142"/>
    </row>
    <row r="144" spans="12:15" x14ac:dyDescent="0.25">
      <c r="L144" s="30" t="str">
        <f t="shared" si="3"/>
        <v/>
      </c>
      <c r="M144" s="144" t="s">
        <v>218</v>
      </c>
      <c r="N144" s="144"/>
      <c r="O144" s="142">
        <f>O141*1.25</f>
        <v>0</v>
      </c>
    </row>
    <row r="145" spans="12:15" x14ac:dyDescent="0.25">
      <c r="L145" s="30" t="str">
        <f t="shared" si="3"/>
        <v/>
      </c>
      <c r="M145" s="144"/>
      <c r="N145" s="144"/>
      <c r="O145" s="142"/>
    </row>
    <row r="146" spans="12:15" x14ac:dyDescent="0.25">
      <c r="L146" s="30" t="str">
        <f t="shared" si="3"/>
        <v/>
      </c>
      <c r="M146" s="153" t="s">
        <v>258</v>
      </c>
      <c r="N146" s="144"/>
      <c r="O146" s="124"/>
    </row>
    <row r="147" spans="12:15" x14ac:dyDescent="0.25">
      <c r="L147" s="30" t="str">
        <f t="shared" si="3"/>
        <v/>
      </c>
      <c r="M147" s="144" t="s">
        <v>211</v>
      </c>
      <c r="N147" s="144"/>
      <c r="O147" s="142">
        <v>0</v>
      </c>
    </row>
    <row r="148" spans="12:15" x14ac:dyDescent="0.25">
      <c r="L148" s="30" t="str">
        <f t="shared" si="3"/>
        <v/>
      </c>
      <c r="M148" s="144" t="s">
        <v>212</v>
      </c>
      <c r="N148" s="144"/>
      <c r="O148" s="142">
        <f>TRUNC((O144-O45)/10000,6)</f>
        <v>-0.94079999999999997</v>
      </c>
    </row>
    <row r="149" spans="12:15" x14ac:dyDescent="0.25">
      <c r="L149" s="30" t="str">
        <f t="shared" si="3"/>
        <v/>
      </c>
      <c r="M149" s="144" t="s">
        <v>213</v>
      </c>
      <c r="N149" s="144"/>
      <c r="O149" s="142">
        <f>O148*972.87</f>
        <v>-915.27609599999994</v>
      </c>
    </row>
    <row r="150" spans="12:15" x14ac:dyDescent="0.25">
      <c r="L150" s="30" t="str">
        <f t="shared" si="3"/>
        <v/>
      </c>
      <c r="M150" s="144" t="s">
        <v>213</v>
      </c>
      <c r="N150" s="144"/>
      <c r="O150" s="124">
        <f>O149+1400</f>
        <v>484.72390400000006</v>
      </c>
    </row>
    <row r="151" spans="12:15" x14ac:dyDescent="0.25">
      <c r="L151" s="30" t="str">
        <f t="shared" si="3"/>
        <v/>
      </c>
      <c r="M151" s="144" t="s">
        <v>211</v>
      </c>
      <c r="N151" s="144"/>
      <c r="O151" s="142">
        <f>ROUNDDOWN(O150*O148,0)</f>
        <v>-456</v>
      </c>
    </row>
    <row r="152" spans="12:15" x14ac:dyDescent="0.25">
      <c r="L152" s="30" t="str">
        <f t="shared" si="3"/>
        <v/>
      </c>
      <c r="M152" s="144" t="s">
        <v>212</v>
      </c>
      <c r="N152" s="144"/>
      <c r="O152" s="142">
        <f>TRUNC((O144-14532)/10000,6)</f>
        <v>-1.4532</v>
      </c>
    </row>
    <row r="153" spans="12:15" x14ac:dyDescent="0.25">
      <c r="L153" s="30" t="str">
        <f t="shared" si="3"/>
        <v/>
      </c>
      <c r="M153" s="144" t="s">
        <v>213</v>
      </c>
      <c r="N153" s="144"/>
      <c r="O153" s="142">
        <f>O152*212.02</f>
        <v>-308.10746400000005</v>
      </c>
    </row>
    <row r="154" spans="12:15" x14ac:dyDescent="0.25">
      <c r="L154" s="30" t="str">
        <f t="shared" si="3"/>
        <v/>
      </c>
      <c r="M154" s="144" t="s">
        <v>213</v>
      </c>
      <c r="N154" s="144"/>
      <c r="O154" s="142">
        <f>O153+2397</f>
        <v>2088.8925359999998</v>
      </c>
    </row>
    <row r="155" spans="12:15" x14ac:dyDescent="0.25">
      <c r="L155" s="30" t="str">
        <f t="shared" si="3"/>
        <v/>
      </c>
      <c r="M155" s="144" t="s">
        <v>213</v>
      </c>
      <c r="N155" s="144"/>
      <c r="O155" s="142">
        <f>O154*O152</f>
        <v>-3035.5786333152</v>
      </c>
    </row>
    <row r="156" spans="12:15" x14ac:dyDescent="0.25">
      <c r="L156" s="30" t="str">
        <f t="shared" si="3"/>
        <v/>
      </c>
      <c r="M156" s="144" t="s">
        <v>211</v>
      </c>
      <c r="N156" s="144"/>
      <c r="O156" s="142">
        <f>ROUNDDOWN(O155+972.79,0)</f>
        <v>-2062</v>
      </c>
    </row>
    <row r="157" spans="12:15" x14ac:dyDescent="0.25">
      <c r="L157" s="30" t="str">
        <f t="shared" si="3"/>
        <v/>
      </c>
      <c r="M157" s="144" t="s">
        <v>211</v>
      </c>
      <c r="N157" s="144"/>
      <c r="O157" s="142">
        <f>ROUNDDOWN((O144*0.42)-8963.74,0)</f>
        <v>-8963</v>
      </c>
    </row>
    <row r="158" spans="12:15" x14ac:dyDescent="0.25">
      <c r="L158" s="30" t="str">
        <f t="shared" si="3"/>
        <v/>
      </c>
      <c r="M158" s="144" t="s">
        <v>211</v>
      </c>
      <c r="N158" s="144"/>
      <c r="O158" s="142">
        <f>ROUNDDOWN((O144*0.45)-17078.74,0)</f>
        <v>-17078</v>
      </c>
    </row>
    <row r="159" spans="12:15" x14ac:dyDescent="0.25">
      <c r="L159" s="30" t="str">
        <f t="shared" si="3"/>
        <v/>
      </c>
      <c r="M159" s="144" t="s">
        <v>211</v>
      </c>
      <c r="N159" s="144"/>
      <c r="O159" s="120">
        <f>IF(O144&lt;O45+1,O147,IF(O144&lt;14533,O151*O87,IF(O144&lt;57052,O156*O87,IF(O144&lt;270501,O157*O87,O158*O87))))</f>
        <v>0</v>
      </c>
    </row>
    <row r="160" spans="12:15" x14ac:dyDescent="0.25">
      <c r="L160" s="30" t="str">
        <f t="shared" si="3"/>
        <v/>
      </c>
      <c r="M160" s="144" t="s">
        <v>219</v>
      </c>
      <c r="N160" s="144"/>
      <c r="O160" s="142">
        <f>O159</f>
        <v>0</v>
      </c>
    </row>
    <row r="161" spans="12:15" x14ac:dyDescent="0.25">
      <c r="L161" s="30" t="str">
        <f t="shared" si="3"/>
        <v/>
      </c>
      <c r="M161" s="144" t="s">
        <v>218</v>
      </c>
      <c r="N161" s="144"/>
      <c r="O161" s="142">
        <f>O141*0.75</f>
        <v>0</v>
      </c>
    </row>
    <row r="162" spans="12:15" x14ac:dyDescent="0.25">
      <c r="L162" s="30" t="str">
        <f t="shared" si="3"/>
        <v/>
      </c>
      <c r="M162" s="144"/>
      <c r="N162" s="144"/>
      <c r="O162" s="142"/>
    </row>
    <row r="163" spans="12:15" x14ac:dyDescent="0.25">
      <c r="L163" s="30" t="str">
        <f t="shared" si="3"/>
        <v/>
      </c>
      <c r="M163" s="153" t="s">
        <v>258</v>
      </c>
      <c r="N163" s="144"/>
      <c r="O163" s="124"/>
    </row>
    <row r="164" spans="12:15" x14ac:dyDescent="0.25">
      <c r="L164" s="30" t="str">
        <f t="shared" si="3"/>
        <v/>
      </c>
      <c r="M164" s="144" t="s">
        <v>211</v>
      </c>
      <c r="N164" s="144"/>
      <c r="O164" s="142">
        <v>0</v>
      </c>
    </row>
    <row r="165" spans="12:15" x14ac:dyDescent="0.25">
      <c r="L165" s="30" t="str">
        <f t="shared" si="3"/>
        <v/>
      </c>
      <c r="M165" s="144" t="s">
        <v>212</v>
      </c>
      <c r="N165" s="144"/>
      <c r="O165" s="142">
        <f>TRUNC((O161-O45)/10000,6)</f>
        <v>-0.94079999999999997</v>
      </c>
    </row>
    <row r="166" spans="12:15" x14ac:dyDescent="0.25">
      <c r="L166" s="30" t="str">
        <f t="shared" si="3"/>
        <v/>
      </c>
      <c r="M166" s="144" t="s">
        <v>213</v>
      </c>
      <c r="N166" s="144"/>
      <c r="O166" s="142">
        <f>O165*972.87</f>
        <v>-915.27609599999994</v>
      </c>
    </row>
    <row r="167" spans="12:15" x14ac:dyDescent="0.25">
      <c r="L167" s="30" t="str">
        <f t="shared" si="3"/>
        <v/>
      </c>
      <c r="M167" s="144" t="s">
        <v>213</v>
      </c>
      <c r="N167" s="144"/>
      <c r="O167" s="124">
        <f>O166+1400</f>
        <v>484.72390400000006</v>
      </c>
    </row>
    <row r="168" spans="12:15" x14ac:dyDescent="0.25">
      <c r="L168" s="30" t="str">
        <f t="shared" si="3"/>
        <v/>
      </c>
      <c r="M168" s="144" t="s">
        <v>211</v>
      </c>
      <c r="N168" s="144"/>
      <c r="O168" s="142">
        <f>ROUNDDOWN(O167*O165,0)</f>
        <v>-456</v>
      </c>
    </row>
    <row r="169" spans="12:15" x14ac:dyDescent="0.25">
      <c r="L169" s="30" t="str">
        <f t="shared" si="3"/>
        <v/>
      </c>
      <c r="M169" s="144" t="s">
        <v>212</v>
      </c>
      <c r="N169" s="144"/>
      <c r="O169" s="142">
        <f>TRUNC((O161-14532)/10000,6)</f>
        <v>-1.4532</v>
      </c>
    </row>
    <row r="170" spans="12:15" x14ac:dyDescent="0.25">
      <c r="L170" s="30" t="str">
        <f t="shared" si="3"/>
        <v/>
      </c>
      <c r="M170" s="144" t="s">
        <v>213</v>
      </c>
      <c r="N170" s="144"/>
      <c r="O170" s="142">
        <f>O169*212.02</f>
        <v>-308.10746400000005</v>
      </c>
    </row>
    <row r="171" spans="12:15" x14ac:dyDescent="0.25">
      <c r="L171" s="30" t="str">
        <f t="shared" si="3"/>
        <v/>
      </c>
      <c r="M171" s="144" t="s">
        <v>213</v>
      </c>
      <c r="N171" s="144"/>
      <c r="O171" s="142">
        <f>O170+2397</f>
        <v>2088.8925359999998</v>
      </c>
    </row>
    <row r="172" spans="12:15" x14ac:dyDescent="0.25">
      <c r="L172" s="30" t="str">
        <f t="shared" si="3"/>
        <v/>
      </c>
      <c r="M172" s="144" t="s">
        <v>213</v>
      </c>
      <c r="N172" s="144"/>
      <c r="O172" s="142">
        <f>O171*O169</f>
        <v>-3035.5786333152</v>
      </c>
    </row>
    <row r="173" spans="12:15" x14ac:dyDescent="0.25">
      <c r="L173" s="30" t="str">
        <f t="shared" si="3"/>
        <v/>
      </c>
      <c r="M173" s="144" t="s">
        <v>211</v>
      </c>
      <c r="N173" s="144"/>
      <c r="O173" s="142">
        <f>ROUNDDOWN(O172+972.79,0)</f>
        <v>-2062</v>
      </c>
    </row>
    <row r="174" spans="12:15" x14ac:dyDescent="0.25">
      <c r="L174" s="30" t="str">
        <f t="shared" si="3"/>
        <v/>
      </c>
      <c r="M174" s="144" t="s">
        <v>211</v>
      </c>
      <c r="N174" s="144"/>
      <c r="O174" s="142">
        <f>ROUNDDOWN((O161*0.42)-8963.74,0)</f>
        <v>-8963</v>
      </c>
    </row>
    <row r="175" spans="12:15" x14ac:dyDescent="0.25">
      <c r="L175" s="30" t="str">
        <f t="shared" si="3"/>
        <v/>
      </c>
      <c r="M175" s="144" t="s">
        <v>211</v>
      </c>
      <c r="N175" s="144"/>
      <c r="O175" s="142">
        <f>ROUNDDOWN((O161*0.45)-17078.74,0)</f>
        <v>-17078</v>
      </c>
    </row>
    <row r="176" spans="12:15" x14ac:dyDescent="0.25">
      <c r="L176" s="30" t="str">
        <f t="shared" si="3"/>
        <v/>
      </c>
      <c r="M176" s="144" t="s">
        <v>211</v>
      </c>
      <c r="N176" s="144"/>
      <c r="O176" s="142">
        <f>IF(O161&lt;O45+1,O164,IF(O161&lt;14533,O168*O87,IF(O161&lt;57052,O173*O87,IF(O161&lt;270501,O174*O87,O175*O87))))</f>
        <v>0</v>
      </c>
    </row>
    <row r="177" spans="12:15" x14ac:dyDescent="0.25">
      <c r="L177" s="30" t="str">
        <f t="shared" si="3"/>
        <v/>
      </c>
      <c r="M177" s="144" t="s">
        <v>220</v>
      </c>
      <c r="N177" s="144"/>
      <c r="O177" s="142">
        <f>O176</f>
        <v>0</v>
      </c>
    </row>
    <row r="178" spans="12:15" x14ac:dyDescent="0.25">
      <c r="L178" s="30" t="str">
        <f t="shared" si="3"/>
        <v/>
      </c>
      <c r="M178" s="144" t="s">
        <v>221</v>
      </c>
      <c r="N178" s="144"/>
      <c r="O178" s="142">
        <f>(O160-O177)*2</f>
        <v>0</v>
      </c>
    </row>
    <row r="179" spans="12:15" x14ac:dyDescent="0.25">
      <c r="L179" s="30" t="str">
        <f t="shared" si="3"/>
        <v/>
      </c>
      <c r="M179" s="144" t="s">
        <v>222</v>
      </c>
      <c r="N179" s="144"/>
      <c r="O179" s="142">
        <f>ROUNDDOWN(O141*0.14,0)</f>
        <v>0</v>
      </c>
    </row>
    <row r="180" spans="12:15" x14ac:dyDescent="0.25">
      <c r="L180" s="30" t="str">
        <f t="shared" si="3"/>
        <v/>
      </c>
      <c r="M180" s="144" t="s">
        <v>211</v>
      </c>
      <c r="N180" s="144"/>
      <c r="O180" s="142">
        <f>IF(O179&gt;O178,O179,O178)</f>
        <v>0</v>
      </c>
    </row>
    <row r="181" spans="12:15" x14ac:dyDescent="0.25">
      <c r="L181" s="30" t="str">
        <f t="shared" si="3"/>
        <v/>
      </c>
      <c r="M181" s="144" t="s">
        <v>216</v>
      </c>
      <c r="N181" s="144"/>
      <c r="O181" s="142">
        <f>IF(O140&gt;O42,O42,O180)</f>
        <v>0</v>
      </c>
    </row>
    <row r="182" spans="12:15" x14ac:dyDescent="0.25">
      <c r="L182" s="30" t="str">
        <f t="shared" si="3"/>
        <v/>
      </c>
      <c r="M182" s="144" t="s">
        <v>223</v>
      </c>
      <c r="N182" s="144"/>
      <c r="O182" s="142">
        <f>O180</f>
        <v>0</v>
      </c>
    </row>
    <row r="183" spans="12:15" x14ac:dyDescent="0.25">
      <c r="L183" s="30" t="str">
        <f t="shared" si="3"/>
        <v/>
      </c>
      <c r="M183" s="144"/>
      <c r="N183" s="144"/>
      <c r="O183" s="120"/>
    </row>
    <row r="184" spans="12:15" x14ac:dyDescent="0.25">
      <c r="L184" s="30" t="str">
        <f t="shared" si="3"/>
        <v/>
      </c>
      <c r="M184" s="153" t="s">
        <v>217</v>
      </c>
      <c r="N184" s="144"/>
      <c r="O184" s="142"/>
    </row>
    <row r="185" spans="12:15" x14ac:dyDescent="0.25">
      <c r="L185" s="30" t="str">
        <f t="shared" si="3"/>
        <v/>
      </c>
      <c r="M185" s="144" t="s">
        <v>218</v>
      </c>
      <c r="N185" s="144"/>
      <c r="O185" s="142">
        <f>O181*1.25</f>
        <v>0</v>
      </c>
    </row>
    <row r="186" spans="12:15" x14ac:dyDescent="0.25">
      <c r="L186" s="30" t="str">
        <f t="shared" si="3"/>
        <v/>
      </c>
      <c r="M186" s="144"/>
      <c r="N186" s="144"/>
      <c r="O186" s="142"/>
    </row>
    <row r="187" spans="12:15" x14ac:dyDescent="0.25">
      <c r="L187" s="30" t="str">
        <f t="shared" si="3"/>
        <v/>
      </c>
      <c r="M187" s="153" t="s">
        <v>258</v>
      </c>
      <c r="N187" s="144"/>
      <c r="O187" s="124"/>
    </row>
    <row r="188" spans="12:15" x14ac:dyDescent="0.25">
      <c r="L188" s="30" t="str">
        <f t="shared" si="3"/>
        <v/>
      </c>
      <c r="M188" s="144" t="s">
        <v>211</v>
      </c>
      <c r="N188" s="144"/>
      <c r="O188" s="142">
        <v>0</v>
      </c>
    </row>
    <row r="189" spans="12:15" x14ac:dyDescent="0.25">
      <c r="L189" s="30" t="str">
        <f t="shared" si="3"/>
        <v/>
      </c>
      <c r="M189" s="144" t="s">
        <v>212</v>
      </c>
      <c r="N189" s="144"/>
      <c r="O189" s="142">
        <f>TRUNC((O185-O45)/10000,6)</f>
        <v>-0.94079999999999997</v>
      </c>
    </row>
    <row r="190" spans="12:15" x14ac:dyDescent="0.25">
      <c r="L190" s="30" t="str">
        <f t="shared" si="3"/>
        <v/>
      </c>
      <c r="M190" s="144" t="s">
        <v>213</v>
      </c>
      <c r="N190" s="144"/>
      <c r="O190" s="142">
        <f>O189*972.87</f>
        <v>-915.27609599999994</v>
      </c>
    </row>
    <row r="191" spans="12:15" x14ac:dyDescent="0.25">
      <c r="L191" s="30" t="str">
        <f t="shared" si="3"/>
        <v/>
      </c>
      <c r="M191" s="144" t="s">
        <v>213</v>
      </c>
      <c r="N191" s="144"/>
      <c r="O191" s="124">
        <f>O190+1400</f>
        <v>484.72390400000006</v>
      </c>
    </row>
    <row r="192" spans="12:15" x14ac:dyDescent="0.25">
      <c r="L192" s="30" t="str">
        <f t="shared" si="3"/>
        <v/>
      </c>
      <c r="M192" s="144" t="s">
        <v>211</v>
      </c>
      <c r="N192" s="144"/>
      <c r="O192" s="142">
        <f>ROUNDDOWN(O191*O189,0)</f>
        <v>-456</v>
      </c>
    </row>
    <row r="193" spans="12:15" x14ac:dyDescent="0.25">
      <c r="L193" s="30" t="str">
        <f t="shared" si="3"/>
        <v/>
      </c>
      <c r="M193" s="144" t="s">
        <v>212</v>
      </c>
      <c r="N193" s="144"/>
      <c r="O193" s="142">
        <f>TRUNC((O185-14532)/10000,6)</f>
        <v>-1.4532</v>
      </c>
    </row>
    <row r="194" spans="12:15" x14ac:dyDescent="0.25">
      <c r="L194" s="30" t="str">
        <f t="shared" si="3"/>
        <v/>
      </c>
      <c r="M194" s="144" t="s">
        <v>213</v>
      </c>
      <c r="N194" s="144"/>
      <c r="O194" s="142">
        <f>O193*212.02</f>
        <v>-308.10746400000005</v>
      </c>
    </row>
    <row r="195" spans="12:15" x14ac:dyDescent="0.25">
      <c r="L195" s="30" t="str">
        <f t="shared" si="3"/>
        <v/>
      </c>
      <c r="M195" s="144" t="s">
        <v>213</v>
      </c>
      <c r="N195" s="144"/>
      <c r="O195" s="142">
        <f>O194+2397</f>
        <v>2088.8925359999998</v>
      </c>
    </row>
    <row r="196" spans="12:15" x14ac:dyDescent="0.25">
      <c r="L196" s="30" t="str">
        <f t="shared" si="3"/>
        <v/>
      </c>
      <c r="M196" s="144" t="s">
        <v>213</v>
      </c>
      <c r="N196" s="144"/>
      <c r="O196" s="142">
        <f>O195*O193</f>
        <v>-3035.5786333152</v>
      </c>
    </row>
    <row r="197" spans="12:15" x14ac:dyDescent="0.25">
      <c r="L197" s="30" t="str">
        <f t="shared" ref="L197:L260" si="4">IF(M197=$R$41,$S$41,IF(M197=$R$42,$S$42,IF(M197=$R$43,$S$43,IF(M197=$R$44,$S$44,IF(M197=$R$45,$S$45,"")))))</f>
        <v/>
      </c>
      <c r="M197" s="144" t="s">
        <v>211</v>
      </c>
      <c r="N197" s="144"/>
      <c r="O197" s="142">
        <f>ROUNDDOWN(O196+972.79,0)</f>
        <v>-2062</v>
      </c>
    </row>
    <row r="198" spans="12:15" x14ac:dyDescent="0.25">
      <c r="L198" s="30" t="str">
        <f t="shared" si="4"/>
        <v/>
      </c>
      <c r="M198" s="144" t="s">
        <v>211</v>
      </c>
      <c r="N198" s="144"/>
      <c r="O198" s="142">
        <f>ROUNDDOWN((O185*0.42)-8963.74,0)</f>
        <v>-8963</v>
      </c>
    </row>
    <row r="199" spans="12:15" x14ac:dyDescent="0.25">
      <c r="L199" s="30" t="str">
        <f t="shared" si="4"/>
        <v/>
      </c>
      <c r="M199" s="144" t="s">
        <v>211</v>
      </c>
      <c r="N199" s="144"/>
      <c r="O199" s="142">
        <f>ROUNDDOWN((O185*0.45)-17078.74,0)</f>
        <v>-17078</v>
      </c>
    </row>
    <row r="200" spans="12:15" x14ac:dyDescent="0.25">
      <c r="L200" s="30" t="str">
        <f t="shared" si="4"/>
        <v/>
      </c>
      <c r="M200" s="144" t="s">
        <v>211</v>
      </c>
      <c r="N200" s="144"/>
      <c r="O200" s="120">
        <f>IF(O185&lt;O45+1,O188,IF(O185&lt;14533,O192*O87,IF(O185&lt;57052,O197*O87,IF(O185&lt;270501,O198*O87,O199*O87))))</f>
        <v>0</v>
      </c>
    </row>
    <row r="201" spans="12:15" x14ac:dyDescent="0.25">
      <c r="L201" s="30" t="str">
        <f t="shared" si="4"/>
        <v/>
      </c>
      <c r="M201" s="144" t="s">
        <v>219</v>
      </c>
      <c r="N201" s="144"/>
      <c r="O201" s="142">
        <f>O200</f>
        <v>0</v>
      </c>
    </row>
    <row r="202" spans="12:15" x14ac:dyDescent="0.25">
      <c r="L202" s="30" t="str">
        <f t="shared" si="4"/>
        <v/>
      </c>
      <c r="M202" s="144" t="s">
        <v>218</v>
      </c>
      <c r="N202" s="144"/>
      <c r="O202" s="142">
        <f>O181*0.75</f>
        <v>0</v>
      </c>
    </row>
    <row r="203" spans="12:15" x14ac:dyDescent="0.25">
      <c r="L203" s="30" t="str">
        <f t="shared" si="4"/>
        <v/>
      </c>
      <c r="M203" s="144"/>
      <c r="N203" s="144"/>
      <c r="O203" s="142"/>
    </row>
    <row r="204" spans="12:15" x14ac:dyDescent="0.25">
      <c r="L204" s="30" t="str">
        <f t="shared" si="4"/>
        <v/>
      </c>
      <c r="M204" s="153" t="s">
        <v>258</v>
      </c>
      <c r="N204" s="144"/>
      <c r="O204" s="124"/>
    </row>
    <row r="205" spans="12:15" x14ac:dyDescent="0.25">
      <c r="L205" s="30" t="str">
        <f t="shared" si="4"/>
        <v/>
      </c>
      <c r="M205" s="144" t="s">
        <v>211</v>
      </c>
      <c r="N205" s="144"/>
      <c r="O205" s="142">
        <v>0</v>
      </c>
    </row>
    <row r="206" spans="12:15" x14ac:dyDescent="0.25">
      <c r="L206" s="30" t="str">
        <f t="shared" si="4"/>
        <v/>
      </c>
      <c r="M206" s="144" t="s">
        <v>212</v>
      </c>
      <c r="N206" s="144"/>
      <c r="O206" s="142">
        <f>TRUNC((O202-O45)/10000,6)</f>
        <v>-0.94079999999999997</v>
      </c>
    </row>
    <row r="207" spans="12:15" x14ac:dyDescent="0.25">
      <c r="L207" s="30" t="str">
        <f t="shared" si="4"/>
        <v/>
      </c>
      <c r="M207" s="144" t="s">
        <v>213</v>
      </c>
      <c r="N207" s="144"/>
      <c r="O207" s="142">
        <f>O206*972.87</f>
        <v>-915.27609599999994</v>
      </c>
    </row>
    <row r="208" spans="12:15" x14ac:dyDescent="0.25">
      <c r="L208" s="30" t="str">
        <f t="shared" si="4"/>
        <v/>
      </c>
      <c r="M208" s="144" t="s">
        <v>213</v>
      </c>
      <c r="N208" s="144"/>
      <c r="O208" s="124">
        <f>O207+1400</f>
        <v>484.72390400000006</v>
      </c>
    </row>
    <row r="209" spans="12:15" x14ac:dyDescent="0.25">
      <c r="L209" s="30" t="str">
        <f t="shared" si="4"/>
        <v/>
      </c>
      <c r="M209" s="144" t="s">
        <v>211</v>
      </c>
      <c r="N209" s="144"/>
      <c r="O209" s="142">
        <f>ROUNDDOWN(O208*O206,0)</f>
        <v>-456</v>
      </c>
    </row>
    <row r="210" spans="12:15" x14ac:dyDescent="0.25">
      <c r="L210" s="30" t="str">
        <f t="shared" si="4"/>
        <v/>
      </c>
      <c r="M210" s="144" t="s">
        <v>212</v>
      </c>
      <c r="N210" s="144"/>
      <c r="O210" s="142">
        <f>TRUNC((O202-14532)/10000,6)</f>
        <v>-1.4532</v>
      </c>
    </row>
    <row r="211" spans="12:15" x14ac:dyDescent="0.25">
      <c r="L211" s="30" t="str">
        <f t="shared" si="4"/>
        <v/>
      </c>
      <c r="M211" s="144" t="s">
        <v>213</v>
      </c>
      <c r="N211" s="144"/>
      <c r="O211" s="142">
        <f>O210*212.02</f>
        <v>-308.10746400000005</v>
      </c>
    </row>
    <row r="212" spans="12:15" x14ac:dyDescent="0.25">
      <c r="L212" s="30" t="str">
        <f t="shared" si="4"/>
        <v/>
      </c>
      <c r="M212" s="144" t="s">
        <v>213</v>
      </c>
      <c r="N212" s="144"/>
      <c r="O212" s="142">
        <f>O211+2397</f>
        <v>2088.8925359999998</v>
      </c>
    </row>
    <row r="213" spans="12:15" x14ac:dyDescent="0.25">
      <c r="L213" s="30" t="str">
        <f t="shared" si="4"/>
        <v/>
      </c>
      <c r="M213" s="144" t="s">
        <v>213</v>
      </c>
      <c r="N213" s="144"/>
      <c r="O213" s="142">
        <f>O212*O210</f>
        <v>-3035.5786333152</v>
      </c>
    </row>
    <row r="214" spans="12:15" x14ac:dyDescent="0.25">
      <c r="L214" s="30" t="str">
        <f t="shared" si="4"/>
        <v/>
      </c>
      <c r="M214" s="144" t="s">
        <v>211</v>
      </c>
      <c r="N214" s="144"/>
      <c r="O214" s="142">
        <f>ROUNDDOWN(O213+972.79,0)</f>
        <v>-2062</v>
      </c>
    </row>
    <row r="215" spans="12:15" x14ac:dyDescent="0.25">
      <c r="L215" s="30" t="str">
        <f t="shared" si="4"/>
        <v/>
      </c>
      <c r="M215" s="144" t="s">
        <v>211</v>
      </c>
      <c r="N215" s="144"/>
      <c r="O215" s="142">
        <f>ROUNDDOWN((O202*0.42)-8963.74,0)</f>
        <v>-8963</v>
      </c>
    </row>
    <row r="216" spans="12:15" x14ac:dyDescent="0.25">
      <c r="L216" s="30" t="str">
        <f t="shared" si="4"/>
        <v/>
      </c>
      <c r="M216" s="144" t="s">
        <v>211</v>
      </c>
      <c r="N216" s="144"/>
      <c r="O216" s="142">
        <f>ROUNDDOWN((O202*0.45)-17078.74,0)</f>
        <v>-17078</v>
      </c>
    </row>
    <row r="217" spans="12:15" x14ac:dyDescent="0.25">
      <c r="L217" s="30" t="str">
        <f t="shared" si="4"/>
        <v/>
      </c>
      <c r="M217" s="144" t="s">
        <v>211</v>
      </c>
      <c r="N217" s="144"/>
      <c r="O217" s="142">
        <f>IF(O202&lt;O45+1,O205,IF(O202&lt;14533,O209*O87,IF(O202&lt;57052,O214*O87,IF(O202&lt;270501,O215*O87,O216*O87))))</f>
        <v>0</v>
      </c>
    </row>
    <row r="218" spans="12:15" x14ac:dyDescent="0.25">
      <c r="L218" s="30" t="str">
        <f t="shared" si="4"/>
        <v/>
      </c>
      <c r="M218" s="144" t="s">
        <v>220</v>
      </c>
      <c r="N218" s="144"/>
      <c r="O218" s="142">
        <f>O217</f>
        <v>0</v>
      </c>
    </row>
    <row r="219" spans="12:15" x14ac:dyDescent="0.25">
      <c r="L219" s="30" t="str">
        <f t="shared" si="4"/>
        <v/>
      </c>
      <c r="M219" s="144" t="s">
        <v>221</v>
      </c>
      <c r="N219" s="144"/>
      <c r="O219" s="142">
        <f>(O201-O218)*2</f>
        <v>0</v>
      </c>
    </row>
    <row r="220" spans="12:15" x14ac:dyDescent="0.25">
      <c r="L220" s="30" t="str">
        <f t="shared" si="4"/>
        <v/>
      </c>
      <c r="M220" s="144" t="s">
        <v>222</v>
      </c>
      <c r="N220" s="144"/>
      <c r="O220" s="142">
        <f>ROUNDDOWN(O181*0.14,0)</f>
        <v>0</v>
      </c>
    </row>
    <row r="221" spans="12:15" x14ac:dyDescent="0.25">
      <c r="L221" s="30" t="str">
        <f t="shared" si="4"/>
        <v/>
      </c>
      <c r="M221" s="144" t="s">
        <v>211</v>
      </c>
      <c r="N221" s="144"/>
      <c r="O221" s="142">
        <f>IF(O220&gt;O219,O220,O219)</f>
        <v>0</v>
      </c>
    </row>
    <row r="222" spans="12:15" x14ac:dyDescent="0.25">
      <c r="L222" s="30" t="str">
        <f t="shared" si="4"/>
        <v/>
      </c>
      <c r="M222" s="144" t="s">
        <v>224</v>
      </c>
      <c r="N222" s="144"/>
      <c r="O222" s="142">
        <f>ROUNDDOWN(O221+((O140-O42)*0.42),0)</f>
        <v>-4577</v>
      </c>
    </row>
    <row r="223" spans="12:15" x14ac:dyDescent="0.25">
      <c r="L223" s="30" t="str">
        <f t="shared" si="4"/>
        <v/>
      </c>
      <c r="M223" s="144" t="s">
        <v>211</v>
      </c>
      <c r="N223" s="144"/>
      <c r="O223" s="142">
        <f>IF(O222&lt;O182,O222,O182)</f>
        <v>-4577</v>
      </c>
    </row>
    <row r="224" spans="12:15" x14ac:dyDescent="0.25">
      <c r="L224" s="30" t="str">
        <f t="shared" si="4"/>
        <v/>
      </c>
      <c r="M224" s="144" t="s">
        <v>211</v>
      </c>
      <c r="N224" s="144"/>
      <c r="O224" s="142">
        <f>IF(O140&gt;O44,ROUNDDOWN((O180+(O44-O43)*0.42)+(O140-O44)*0.45,0),IF(O140&gt;O43,ROUNDDOWN(O180+((O140-O43)*0.42),0),IF(O140&gt;O42,O223,O180)))</f>
        <v>0</v>
      </c>
    </row>
    <row r="225" spans="12:15" x14ac:dyDescent="0.25">
      <c r="L225" s="30" t="str">
        <f t="shared" si="4"/>
        <v/>
      </c>
      <c r="M225" s="144"/>
      <c r="N225" s="144"/>
      <c r="O225" s="142"/>
    </row>
    <row r="226" spans="12:15" x14ac:dyDescent="0.25">
      <c r="L226" s="30" t="str">
        <f t="shared" si="4"/>
        <v/>
      </c>
      <c r="M226" s="144" t="s">
        <v>225</v>
      </c>
      <c r="N226" s="144"/>
      <c r="O226" s="142">
        <f>ROUNDDOWN(IF(O20&lt;5,O137,O224)*O53,0)</f>
        <v>0</v>
      </c>
    </row>
    <row r="227" spans="12:15" x14ac:dyDescent="0.25">
      <c r="L227" s="30" t="str">
        <f t="shared" si="4"/>
        <v/>
      </c>
      <c r="M227" s="144"/>
      <c r="N227" s="144"/>
      <c r="O227" s="142"/>
    </row>
    <row r="228" spans="12:15" x14ac:dyDescent="0.25">
      <c r="L228" s="30" t="str">
        <f t="shared" si="4"/>
        <v/>
      </c>
      <c r="M228" s="153" t="s">
        <v>226</v>
      </c>
      <c r="N228" s="144"/>
      <c r="O228" s="142"/>
    </row>
    <row r="229" spans="12:15" x14ac:dyDescent="0.25">
      <c r="L229" s="30" t="str">
        <f t="shared" si="4"/>
        <v/>
      </c>
      <c r="M229" s="144" t="s">
        <v>227</v>
      </c>
      <c r="N229" s="144"/>
      <c r="O229" s="142">
        <f>O226*100</f>
        <v>0</v>
      </c>
    </row>
    <row r="230" spans="12:15" x14ac:dyDescent="0.25">
      <c r="L230" s="30" t="str">
        <f t="shared" si="4"/>
        <v/>
      </c>
      <c r="M230" s="144"/>
      <c r="N230" s="144"/>
      <c r="O230" s="142"/>
    </row>
    <row r="231" spans="12:15" x14ac:dyDescent="0.25">
      <c r="L231" s="30" t="str">
        <f t="shared" si="4"/>
        <v/>
      </c>
      <c r="M231" s="153" t="s">
        <v>228</v>
      </c>
      <c r="N231" s="144"/>
      <c r="O231" s="145"/>
    </row>
    <row r="232" spans="12:15" x14ac:dyDescent="0.25">
      <c r="L232" s="30" t="str">
        <f t="shared" si="4"/>
        <v/>
      </c>
      <c r="M232" s="144" t="s">
        <v>229</v>
      </c>
      <c r="N232" s="144"/>
      <c r="O232" s="142">
        <f>IF(O10=1,O229,IF(O10=2,ROUNDDOWN(O229/12,0),IF(O10=3,ROUNDDOWN((O229*7)/360,0),ROUNDDOWN(O229/360,0))))</f>
        <v>0</v>
      </c>
    </row>
    <row r="233" spans="12:15" x14ac:dyDescent="0.25">
      <c r="L233" s="30" t="str">
        <f t="shared" si="4"/>
        <v>LSTLZZ nach C28</v>
      </c>
      <c r="M233" s="144" t="s">
        <v>230</v>
      </c>
      <c r="N233" s="144"/>
      <c r="O233" s="125">
        <f>O232</f>
        <v>0</v>
      </c>
    </row>
    <row r="234" spans="12:15" x14ac:dyDescent="0.25">
      <c r="L234" s="30" t="str">
        <f t="shared" si="4"/>
        <v/>
      </c>
      <c r="M234" s="144" t="s">
        <v>194</v>
      </c>
      <c r="N234" s="144"/>
      <c r="O234" s="142">
        <f>O92+O91</f>
        <v>36</v>
      </c>
    </row>
    <row r="235" spans="12:15" x14ac:dyDescent="0.25">
      <c r="L235" s="30" t="str">
        <f t="shared" si="4"/>
        <v/>
      </c>
      <c r="M235" s="144" t="s">
        <v>208</v>
      </c>
      <c r="N235" s="144"/>
      <c r="O235" s="142">
        <f>O79-O234-O116</f>
        <v>-36</v>
      </c>
    </row>
    <row r="236" spans="12:15" x14ac:dyDescent="0.25">
      <c r="L236" s="30" t="str">
        <f t="shared" si="4"/>
        <v/>
      </c>
      <c r="M236" s="144" t="s">
        <v>210</v>
      </c>
      <c r="N236" s="144"/>
      <c r="O236" s="142">
        <f>IF(O235&lt;36,0,ROUNDDOWN(O235/O87,0))</f>
        <v>0</v>
      </c>
    </row>
    <row r="237" spans="12:15" x14ac:dyDescent="0.25">
      <c r="L237" s="30" t="str">
        <f t="shared" si="4"/>
        <v/>
      </c>
      <c r="M237" s="144"/>
      <c r="N237" s="144"/>
      <c r="O237" s="142"/>
    </row>
    <row r="238" spans="12:15" x14ac:dyDescent="0.25">
      <c r="L238" s="30" t="str">
        <f t="shared" si="4"/>
        <v/>
      </c>
      <c r="M238" s="153" t="s">
        <v>258</v>
      </c>
      <c r="N238" s="144"/>
      <c r="O238" s="124"/>
    </row>
    <row r="239" spans="12:15" x14ac:dyDescent="0.25">
      <c r="L239" s="30" t="str">
        <f t="shared" si="4"/>
        <v/>
      </c>
      <c r="M239" s="144" t="s">
        <v>211</v>
      </c>
      <c r="N239" s="144"/>
      <c r="O239" s="142">
        <v>0</v>
      </c>
    </row>
    <row r="240" spans="12:15" x14ac:dyDescent="0.25">
      <c r="L240" s="30" t="str">
        <f t="shared" si="4"/>
        <v/>
      </c>
      <c r="M240" s="144" t="s">
        <v>212</v>
      </c>
      <c r="N240" s="144"/>
      <c r="O240" s="142">
        <f>TRUNC((O236-O45)/10000,6)</f>
        <v>-0.94079999999999997</v>
      </c>
    </row>
    <row r="241" spans="12:15" x14ac:dyDescent="0.25">
      <c r="L241" s="30" t="str">
        <f t="shared" si="4"/>
        <v/>
      </c>
      <c r="M241" s="144" t="s">
        <v>213</v>
      </c>
      <c r="N241" s="144"/>
      <c r="O241" s="142">
        <f>O240*972.87</f>
        <v>-915.27609599999994</v>
      </c>
    </row>
    <row r="242" spans="12:15" x14ac:dyDescent="0.25">
      <c r="L242" s="30" t="str">
        <f t="shared" si="4"/>
        <v/>
      </c>
      <c r="M242" s="144" t="s">
        <v>213</v>
      </c>
      <c r="N242" s="144"/>
      <c r="O242" s="124">
        <f>O241+1400</f>
        <v>484.72390400000006</v>
      </c>
    </row>
    <row r="243" spans="12:15" x14ac:dyDescent="0.25">
      <c r="L243" s="30" t="str">
        <f t="shared" si="4"/>
        <v/>
      </c>
      <c r="M243" s="144" t="s">
        <v>211</v>
      </c>
      <c r="N243" s="144"/>
      <c r="O243" s="142">
        <f>ROUNDDOWN(O242*O240,0)</f>
        <v>-456</v>
      </c>
    </row>
    <row r="244" spans="12:15" x14ac:dyDescent="0.25">
      <c r="L244" s="30" t="str">
        <f t="shared" si="4"/>
        <v/>
      </c>
      <c r="M244" s="144" t="s">
        <v>212</v>
      </c>
      <c r="N244" s="144"/>
      <c r="O244" s="142">
        <f>TRUNC((O236-14532)/10000,6)</f>
        <v>-1.4532</v>
      </c>
    </row>
    <row r="245" spans="12:15" x14ac:dyDescent="0.25">
      <c r="L245" s="30" t="str">
        <f t="shared" si="4"/>
        <v/>
      </c>
      <c r="M245" s="144" t="s">
        <v>213</v>
      </c>
      <c r="N245" s="144"/>
      <c r="O245" s="142">
        <f>O244*212.02</f>
        <v>-308.10746400000005</v>
      </c>
    </row>
    <row r="246" spans="12:15" x14ac:dyDescent="0.25">
      <c r="L246" s="30" t="str">
        <f t="shared" si="4"/>
        <v/>
      </c>
      <c r="M246" s="144" t="s">
        <v>213</v>
      </c>
      <c r="N246" s="144"/>
      <c r="O246" s="142">
        <f>O245+2397</f>
        <v>2088.8925359999998</v>
      </c>
    </row>
    <row r="247" spans="12:15" x14ac:dyDescent="0.25">
      <c r="L247" s="30" t="str">
        <f t="shared" si="4"/>
        <v/>
      </c>
      <c r="M247" s="144" t="s">
        <v>213</v>
      </c>
      <c r="N247" s="144"/>
      <c r="O247" s="142">
        <f>O246*O244</f>
        <v>-3035.5786333152</v>
      </c>
    </row>
    <row r="248" spans="12:15" x14ac:dyDescent="0.25">
      <c r="L248" s="30" t="str">
        <f t="shared" si="4"/>
        <v/>
      </c>
      <c r="M248" s="144" t="s">
        <v>211</v>
      </c>
      <c r="N248" s="144"/>
      <c r="O248" s="142">
        <f>ROUNDDOWN(O247+972.79,0)</f>
        <v>-2062</v>
      </c>
    </row>
    <row r="249" spans="12:15" x14ac:dyDescent="0.25">
      <c r="L249" s="30" t="str">
        <f t="shared" si="4"/>
        <v/>
      </c>
      <c r="M249" s="144" t="s">
        <v>211</v>
      </c>
      <c r="N249" s="144"/>
      <c r="O249" s="142">
        <f>ROUNDDOWN((O236*0.42)-8963.74,0)</f>
        <v>-8963</v>
      </c>
    </row>
    <row r="250" spans="12:15" x14ac:dyDescent="0.25">
      <c r="L250" s="30" t="str">
        <f t="shared" si="4"/>
        <v/>
      </c>
      <c r="M250" s="144" t="s">
        <v>211</v>
      </c>
      <c r="N250" s="144"/>
      <c r="O250" s="142">
        <f>ROUNDDOWN((O236*0.45)-17078.74,0)</f>
        <v>-17078</v>
      </c>
    </row>
    <row r="251" spans="12:15" x14ac:dyDescent="0.25">
      <c r="L251" s="30" t="str">
        <f t="shared" si="4"/>
        <v/>
      </c>
      <c r="M251" s="144" t="s">
        <v>211</v>
      </c>
      <c r="N251" s="144"/>
      <c r="O251" s="142">
        <f>IF(O236&lt;O45+1,O239,IF(O236&lt;14533,O243*O87,IF(O236&lt;57052,O248*O87,IF(O236&lt;270501,O249*O87,O250*O87))))</f>
        <v>0</v>
      </c>
    </row>
    <row r="252" spans="12:15" x14ac:dyDescent="0.25">
      <c r="L252" s="30" t="str">
        <f t="shared" si="4"/>
        <v/>
      </c>
      <c r="M252" s="144" t="s">
        <v>231</v>
      </c>
      <c r="N252" s="144"/>
      <c r="O252" s="142">
        <f>IF(O25&gt;0,ROUNDDOWN(O251*O53,0),O226)</f>
        <v>0</v>
      </c>
    </row>
    <row r="253" spans="12:15" x14ac:dyDescent="0.25">
      <c r="L253" s="30" t="str">
        <f t="shared" si="4"/>
        <v/>
      </c>
      <c r="M253" s="144"/>
      <c r="N253" s="144"/>
      <c r="O253" s="142"/>
    </row>
    <row r="254" spans="12:15" x14ac:dyDescent="0.25">
      <c r="L254" s="30" t="str">
        <f t="shared" si="4"/>
        <v/>
      </c>
      <c r="M254" s="153" t="s">
        <v>232</v>
      </c>
      <c r="N254" s="144"/>
      <c r="O254" s="120"/>
    </row>
    <row r="255" spans="12:15" x14ac:dyDescent="0.25">
      <c r="L255" s="30" t="str">
        <f t="shared" si="4"/>
        <v/>
      </c>
      <c r="M255" s="144" t="s">
        <v>161</v>
      </c>
      <c r="N255" s="144"/>
      <c r="O255" s="120">
        <f>O46*O87</f>
        <v>972</v>
      </c>
    </row>
    <row r="256" spans="12:15" x14ac:dyDescent="0.25">
      <c r="L256" s="30" t="str">
        <f t="shared" si="4"/>
        <v/>
      </c>
      <c r="M256" s="144" t="s">
        <v>233</v>
      </c>
      <c r="N256" s="144"/>
      <c r="O256" s="120">
        <f>ROUNDDOWN((O252*5.5)/100,2)</f>
        <v>0</v>
      </c>
    </row>
    <row r="257" spans="12:15" x14ac:dyDescent="0.25">
      <c r="L257" s="30" t="str">
        <f t="shared" si="4"/>
        <v/>
      </c>
      <c r="M257" s="144" t="s">
        <v>234</v>
      </c>
      <c r="N257" s="144"/>
      <c r="O257" s="142">
        <f>((O252-O255)*20)/100</f>
        <v>-194.4</v>
      </c>
    </row>
    <row r="258" spans="12:15" x14ac:dyDescent="0.25">
      <c r="L258" s="30" t="str">
        <f t="shared" si="4"/>
        <v/>
      </c>
      <c r="M258" s="144" t="s">
        <v>233</v>
      </c>
      <c r="N258" s="144"/>
      <c r="O258" s="142">
        <f>IF(O257&lt;O256,O257,O256)</f>
        <v>-194.4</v>
      </c>
    </row>
    <row r="259" spans="12:15" x14ac:dyDescent="0.25">
      <c r="L259" s="30" t="str">
        <f t="shared" si="4"/>
        <v/>
      </c>
      <c r="M259" s="144" t="s">
        <v>227</v>
      </c>
      <c r="N259" s="144"/>
      <c r="O259" s="142">
        <f>O258*100</f>
        <v>-19440</v>
      </c>
    </row>
    <row r="260" spans="12:15" x14ac:dyDescent="0.25">
      <c r="L260" s="30" t="str">
        <f t="shared" si="4"/>
        <v/>
      </c>
      <c r="M260" s="144"/>
      <c r="N260" s="144"/>
      <c r="O260" s="142"/>
    </row>
    <row r="261" spans="12:15" x14ac:dyDescent="0.25">
      <c r="L261" s="30" t="str">
        <f t="shared" ref="L261:L324" si="5">IF(M261=$R$41,$S$41,IF(M261=$R$42,$S$42,IF(M261=$R$43,$S$43,IF(M261=$R$44,$S$44,IF(M261=$R$45,$S$45,"")))))</f>
        <v/>
      </c>
      <c r="M261" s="153" t="s">
        <v>228</v>
      </c>
      <c r="N261" s="144"/>
      <c r="O261" s="145"/>
    </row>
    <row r="262" spans="12:15" x14ac:dyDescent="0.25">
      <c r="L262" s="30" t="str">
        <f t="shared" si="5"/>
        <v/>
      </c>
      <c r="M262" s="144" t="s">
        <v>229</v>
      </c>
      <c r="N262" s="144"/>
      <c r="O262" s="142">
        <f>IF(O10=1,O259,IF(O10=2,ROUNDDOWN(O259/12,0),IF(O10=3,ROUNDDOWN((O259*7)/360,0),ROUNDDOWN(O259/360,0))))</f>
        <v>-1620</v>
      </c>
    </row>
    <row r="263" spans="12:15" x14ac:dyDescent="0.25">
      <c r="L263" s="30" t="str">
        <f t="shared" si="5"/>
        <v>SOLZLZZ nach C30</v>
      </c>
      <c r="M263" s="144" t="s">
        <v>235</v>
      </c>
      <c r="N263" s="144"/>
      <c r="O263" s="142">
        <f>IF(O252&gt;O255,O262,0)</f>
        <v>0</v>
      </c>
    </row>
    <row r="264" spans="12:15" x14ac:dyDescent="0.25">
      <c r="L264" s="30" t="str">
        <f t="shared" si="5"/>
        <v/>
      </c>
      <c r="M264" s="144" t="s">
        <v>227</v>
      </c>
      <c r="N264" s="144"/>
      <c r="O264" s="142">
        <f>O252*100</f>
        <v>0</v>
      </c>
    </row>
    <row r="265" spans="12:15" x14ac:dyDescent="0.25">
      <c r="L265" s="30" t="str">
        <f t="shared" si="5"/>
        <v/>
      </c>
      <c r="M265" s="144"/>
      <c r="N265" s="144"/>
      <c r="O265" s="142"/>
    </row>
    <row r="266" spans="12:15" x14ac:dyDescent="0.25">
      <c r="L266" s="30" t="str">
        <f t="shared" si="5"/>
        <v/>
      </c>
      <c r="M266" s="153" t="s">
        <v>228</v>
      </c>
      <c r="N266" s="144"/>
      <c r="O266" s="145"/>
    </row>
    <row r="267" spans="12:15" x14ac:dyDescent="0.25">
      <c r="L267" s="30" t="str">
        <f t="shared" si="5"/>
        <v/>
      </c>
      <c r="M267" s="144" t="s">
        <v>229</v>
      </c>
      <c r="N267" s="144"/>
      <c r="O267" s="30">
        <f>IF(O10=1,O264,IF(O10=2,ROUNDDOWN(O264/12,0),IF(O10=3,ROUNDDOWN((O264*7)/360,0),ROUNDDOWN(O264/360,0))))</f>
        <v>0</v>
      </c>
    </row>
    <row r="268" spans="12:15" x14ac:dyDescent="0.25">
      <c r="L268" s="30" t="str">
        <f t="shared" si="5"/>
        <v>BK nach C29</v>
      </c>
      <c r="M268" s="144" t="s">
        <v>236</v>
      </c>
      <c r="N268" s="144"/>
      <c r="O268" s="30">
        <f>IF(O17&gt;0,O267,0)</f>
        <v>0</v>
      </c>
    </row>
    <row r="269" spans="12:15" x14ac:dyDescent="0.25">
      <c r="L269" s="30" t="str">
        <f t="shared" si="5"/>
        <v/>
      </c>
    </row>
    <row r="270" spans="12:15" x14ac:dyDescent="0.25">
      <c r="L270" s="30" t="str">
        <f t="shared" si="5"/>
        <v/>
      </c>
    </row>
    <row r="271" spans="12:15" x14ac:dyDescent="0.25">
      <c r="L271" s="30" t="str">
        <f t="shared" si="5"/>
        <v/>
      </c>
    </row>
    <row r="272" spans="12:15" x14ac:dyDescent="0.25">
      <c r="L272" s="30" t="str">
        <f t="shared" si="5"/>
        <v/>
      </c>
    </row>
    <row r="273" spans="12:12" x14ac:dyDescent="0.25">
      <c r="L273" s="30" t="str">
        <f t="shared" si="5"/>
        <v/>
      </c>
    </row>
    <row r="274" spans="12:12" x14ac:dyDescent="0.25">
      <c r="L274" s="30" t="str">
        <f t="shared" si="5"/>
        <v/>
      </c>
    </row>
    <row r="275" spans="12:12" x14ac:dyDescent="0.25">
      <c r="L275" s="30" t="str">
        <f t="shared" si="5"/>
        <v/>
      </c>
    </row>
    <row r="276" spans="12:12" x14ac:dyDescent="0.25">
      <c r="L276" s="30" t="str">
        <f t="shared" si="5"/>
        <v/>
      </c>
    </row>
    <row r="277" spans="12:12" x14ac:dyDescent="0.25">
      <c r="L277" s="30" t="str">
        <f t="shared" si="5"/>
        <v/>
      </c>
    </row>
    <row r="278" spans="12:12" x14ac:dyDescent="0.25">
      <c r="L278" s="30" t="str">
        <f t="shared" si="5"/>
        <v/>
      </c>
    </row>
    <row r="279" spans="12:12" x14ac:dyDescent="0.25">
      <c r="L279" s="30" t="str">
        <f t="shared" si="5"/>
        <v/>
      </c>
    </row>
    <row r="280" spans="12:12" x14ac:dyDescent="0.25">
      <c r="L280" s="30" t="str">
        <f t="shared" si="5"/>
        <v/>
      </c>
    </row>
    <row r="281" spans="12:12" x14ac:dyDescent="0.25">
      <c r="L281" s="30" t="str">
        <f t="shared" si="5"/>
        <v/>
      </c>
    </row>
    <row r="282" spans="12:12" x14ac:dyDescent="0.25">
      <c r="L282" s="30" t="str">
        <f t="shared" si="5"/>
        <v/>
      </c>
    </row>
    <row r="283" spans="12:12" x14ac:dyDescent="0.25">
      <c r="L283" s="30" t="str">
        <f t="shared" si="5"/>
        <v/>
      </c>
    </row>
    <row r="284" spans="12:12" x14ac:dyDescent="0.25">
      <c r="L284" s="30" t="str">
        <f t="shared" si="5"/>
        <v/>
      </c>
    </row>
    <row r="285" spans="12:12" x14ac:dyDescent="0.25">
      <c r="L285" s="30" t="str">
        <f t="shared" si="5"/>
        <v/>
      </c>
    </row>
    <row r="286" spans="12:12" x14ac:dyDescent="0.25">
      <c r="L286" s="30" t="str">
        <f t="shared" si="5"/>
        <v/>
      </c>
    </row>
    <row r="287" spans="12:12" x14ac:dyDescent="0.25">
      <c r="L287" s="30" t="str">
        <f t="shared" si="5"/>
        <v/>
      </c>
    </row>
    <row r="288" spans="12:12" x14ac:dyDescent="0.25">
      <c r="L288" s="30" t="str">
        <f t="shared" si="5"/>
        <v/>
      </c>
    </row>
    <row r="289" spans="12:12" x14ac:dyDescent="0.25">
      <c r="L289" s="30" t="str">
        <f t="shared" si="5"/>
        <v/>
      </c>
    </row>
    <row r="290" spans="12:12" x14ac:dyDescent="0.25">
      <c r="L290" s="30" t="str">
        <f t="shared" si="5"/>
        <v/>
      </c>
    </row>
    <row r="291" spans="12:12" x14ac:dyDescent="0.25">
      <c r="L291" s="30" t="str">
        <f t="shared" si="5"/>
        <v/>
      </c>
    </row>
    <row r="292" spans="12:12" x14ac:dyDescent="0.25">
      <c r="L292" s="30" t="str">
        <f t="shared" si="5"/>
        <v/>
      </c>
    </row>
    <row r="293" spans="12:12" x14ac:dyDescent="0.25">
      <c r="L293" s="30" t="str">
        <f t="shared" si="5"/>
        <v/>
      </c>
    </row>
    <row r="294" spans="12:12" x14ac:dyDescent="0.25">
      <c r="L294" s="30" t="str">
        <f t="shared" si="5"/>
        <v/>
      </c>
    </row>
    <row r="295" spans="12:12" x14ac:dyDescent="0.25">
      <c r="L295" s="30" t="str">
        <f t="shared" si="5"/>
        <v/>
      </c>
    </row>
    <row r="296" spans="12:12" x14ac:dyDescent="0.25">
      <c r="L296" s="30" t="str">
        <f t="shared" si="5"/>
        <v/>
      </c>
    </row>
    <row r="297" spans="12:12" x14ac:dyDescent="0.25">
      <c r="L297" s="30" t="str">
        <f t="shared" si="5"/>
        <v/>
      </c>
    </row>
    <row r="298" spans="12:12" x14ac:dyDescent="0.25">
      <c r="L298" s="30" t="str">
        <f t="shared" si="5"/>
        <v/>
      </c>
    </row>
    <row r="299" spans="12:12" x14ac:dyDescent="0.25">
      <c r="L299" s="30" t="str">
        <f t="shared" si="5"/>
        <v/>
      </c>
    </row>
    <row r="300" spans="12:12" x14ac:dyDescent="0.25">
      <c r="L300" s="30" t="str">
        <f t="shared" si="5"/>
        <v/>
      </c>
    </row>
    <row r="301" spans="12:12" x14ac:dyDescent="0.25">
      <c r="L301" s="30" t="str">
        <f t="shared" si="5"/>
        <v/>
      </c>
    </row>
    <row r="302" spans="12:12" x14ac:dyDescent="0.25">
      <c r="L302" s="30" t="str">
        <f t="shared" si="5"/>
        <v/>
      </c>
    </row>
    <row r="303" spans="12:12" x14ac:dyDescent="0.25">
      <c r="L303" s="30" t="str">
        <f t="shared" si="5"/>
        <v/>
      </c>
    </row>
    <row r="304" spans="12:12" x14ac:dyDescent="0.25">
      <c r="L304" s="30" t="str">
        <f t="shared" si="5"/>
        <v/>
      </c>
    </row>
    <row r="305" spans="12:12" x14ac:dyDescent="0.25">
      <c r="L305" s="30" t="str">
        <f t="shared" si="5"/>
        <v/>
      </c>
    </row>
    <row r="306" spans="12:12" x14ac:dyDescent="0.25">
      <c r="L306" s="30" t="str">
        <f t="shared" si="5"/>
        <v/>
      </c>
    </row>
    <row r="307" spans="12:12" x14ac:dyDescent="0.25">
      <c r="L307" s="30" t="str">
        <f t="shared" si="5"/>
        <v/>
      </c>
    </row>
    <row r="308" spans="12:12" x14ac:dyDescent="0.25">
      <c r="L308" s="30" t="str">
        <f t="shared" si="5"/>
        <v/>
      </c>
    </row>
    <row r="309" spans="12:12" x14ac:dyDescent="0.25">
      <c r="L309" s="30" t="str">
        <f t="shared" si="5"/>
        <v/>
      </c>
    </row>
    <row r="310" spans="12:12" x14ac:dyDescent="0.25">
      <c r="L310" s="30" t="str">
        <f t="shared" si="5"/>
        <v/>
      </c>
    </row>
    <row r="311" spans="12:12" x14ac:dyDescent="0.25">
      <c r="L311" s="30" t="str">
        <f t="shared" si="5"/>
        <v/>
      </c>
    </row>
    <row r="312" spans="12:12" x14ac:dyDescent="0.25">
      <c r="L312" s="30" t="str">
        <f t="shared" si="5"/>
        <v/>
      </c>
    </row>
    <row r="313" spans="12:12" x14ac:dyDescent="0.25">
      <c r="L313" s="30" t="str">
        <f t="shared" si="5"/>
        <v/>
      </c>
    </row>
    <row r="314" spans="12:12" x14ac:dyDescent="0.25">
      <c r="L314" s="30" t="str">
        <f t="shared" si="5"/>
        <v/>
      </c>
    </row>
    <row r="315" spans="12:12" x14ac:dyDescent="0.25">
      <c r="L315" s="30" t="str">
        <f t="shared" si="5"/>
        <v/>
      </c>
    </row>
    <row r="316" spans="12:12" x14ac:dyDescent="0.25">
      <c r="L316" s="30" t="str">
        <f t="shared" si="5"/>
        <v/>
      </c>
    </row>
    <row r="317" spans="12:12" x14ac:dyDescent="0.25">
      <c r="L317" s="30" t="str">
        <f t="shared" si="5"/>
        <v/>
      </c>
    </row>
    <row r="318" spans="12:12" x14ac:dyDescent="0.25">
      <c r="L318" s="30" t="str">
        <f t="shared" si="5"/>
        <v/>
      </c>
    </row>
    <row r="319" spans="12:12" x14ac:dyDescent="0.25">
      <c r="L319" s="30" t="str">
        <f t="shared" si="5"/>
        <v/>
      </c>
    </row>
    <row r="320" spans="12:12" x14ac:dyDescent="0.25">
      <c r="L320" s="30" t="str">
        <f t="shared" si="5"/>
        <v/>
      </c>
    </row>
    <row r="321" spans="12:12" x14ac:dyDescent="0.25">
      <c r="L321" s="30" t="str">
        <f t="shared" si="5"/>
        <v/>
      </c>
    </row>
    <row r="322" spans="12:12" x14ac:dyDescent="0.25">
      <c r="L322" s="30" t="str">
        <f t="shared" si="5"/>
        <v/>
      </c>
    </row>
    <row r="323" spans="12:12" x14ac:dyDescent="0.25">
      <c r="L323" s="30" t="str">
        <f t="shared" si="5"/>
        <v/>
      </c>
    </row>
    <row r="324" spans="12:12" x14ac:dyDescent="0.25">
      <c r="L324" s="30" t="str">
        <f t="shared" si="5"/>
        <v/>
      </c>
    </row>
    <row r="325" spans="12:12" x14ac:dyDescent="0.25">
      <c r="L325" s="30" t="str">
        <f t="shared" ref="L325:L388" si="6">IF(M325=$R$41,$S$41,IF(M325=$R$42,$S$42,IF(M325=$R$43,$S$43,IF(M325=$R$44,$S$44,IF(M325=$R$45,$S$45,"")))))</f>
        <v/>
      </c>
    </row>
    <row r="326" spans="12:12" x14ac:dyDescent="0.25">
      <c r="L326" s="30" t="str">
        <f t="shared" si="6"/>
        <v/>
      </c>
    </row>
    <row r="327" spans="12:12" x14ac:dyDescent="0.25">
      <c r="L327" s="30" t="str">
        <f t="shared" si="6"/>
        <v/>
      </c>
    </row>
    <row r="328" spans="12:12" x14ac:dyDescent="0.25">
      <c r="L328" s="30" t="str">
        <f t="shared" si="6"/>
        <v/>
      </c>
    </row>
    <row r="329" spans="12:12" x14ac:dyDescent="0.25">
      <c r="L329" s="30" t="str">
        <f t="shared" si="6"/>
        <v/>
      </c>
    </row>
    <row r="330" spans="12:12" x14ac:dyDescent="0.25">
      <c r="L330" s="30" t="str">
        <f t="shared" si="6"/>
        <v/>
      </c>
    </row>
    <row r="331" spans="12:12" x14ac:dyDescent="0.25">
      <c r="L331" s="30" t="str">
        <f t="shared" si="6"/>
        <v/>
      </c>
    </row>
    <row r="332" spans="12:12" x14ac:dyDescent="0.25">
      <c r="L332" s="30" t="str">
        <f t="shared" si="6"/>
        <v/>
      </c>
    </row>
    <row r="333" spans="12:12" x14ac:dyDescent="0.25">
      <c r="L333" s="30" t="str">
        <f t="shared" si="6"/>
        <v/>
      </c>
    </row>
    <row r="334" spans="12:12" x14ac:dyDescent="0.25">
      <c r="L334" s="30" t="str">
        <f t="shared" si="6"/>
        <v/>
      </c>
    </row>
    <row r="335" spans="12:12" x14ac:dyDescent="0.25">
      <c r="L335" s="30" t="str">
        <f t="shared" si="6"/>
        <v/>
      </c>
    </row>
    <row r="336" spans="12:12" x14ac:dyDescent="0.25">
      <c r="L336" s="30" t="str">
        <f t="shared" si="6"/>
        <v/>
      </c>
    </row>
    <row r="337" spans="12:12" x14ac:dyDescent="0.25">
      <c r="L337" s="30" t="str">
        <f t="shared" si="6"/>
        <v/>
      </c>
    </row>
    <row r="338" spans="12:12" x14ac:dyDescent="0.25">
      <c r="L338" s="30" t="str">
        <f t="shared" si="6"/>
        <v/>
      </c>
    </row>
    <row r="339" spans="12:12" x14ac:dyDescent="0.25">
      <c r="L339" s="30" t="str">
        <f t="shared" si="6"/>
        <v/>
      </c>
    </row>
    <row r="340" spans="12:12" x14ac:dyDescent="0.25">
      <c r="L340" s="30" t="str">
        <f t="shared" si="6"/>
        <v/>
      </c>
    </row>
    <row r="341" spans="12:12" x14ac:dyDescent="0.25">
      <c r="L341" s="30" t="str">
        <f t="shared" si="6"/>
        <v/>
      </c>
    </row>
    <row r="342" spans="12:12" x14ac:dyDescent="0.25">
      <c r="L342" s="30" t="str">
        <f t="shared" si="6"/>
        <v/>
      </c>
    </row>
    <row r="343" spans="12:12" x14ac:dyDescent="0.25">
      <c r="L343" s="30" t="str">
        <f t="shared" si="6"/>
        <v/>
      </c>
    </row>
    <row r="344" spans="12:12" x14ac:dyDescent="0.25">
      <c r="L344" s="30" t="str">
        <f t="shared" si="6"/>
        <v/>
      </c>
    </row>
    <row r="345" spans="12:12" x14ac:dyDescent="0.25">
      <c r="L345" s="30" t="str">
        <f t="shared" si="6"/>
        <v/>
      </c>
    </row>
    <row r="346" spans="12:12" x14ac:dyDescent="0.25">
      <c r="L346" s="30" t="str">
        <f t="shared" si="6"/>
        <v/>
      </c>
    </row>
    <row r="347" spans="12:12" x14ac:dyDescent="0.25">
      <c r="L347" s="30" t="str">
        <f t="shared" si="6"/>
        <v/>
      </c>
    </row>
    <row r="348" spans="12:12" x14ac:dyDescent="0.25">
      <c r="L348" s="30" t="str">
        <f t="shared" si="6"/>
        <v/>
      </c>
    </row>
    <row r="349" spans="12:12" x14ac:dyDescent="0.25">
      <c r="L349" s="30" t="str">
        <f t="shared" si="6"/>
        <v/>
      </c>
    </row>
    <row r="350" spans="12:12" x14ac:dyDescent="0.25">
      <c r="L350" s="30" t="str">
        <f t="shared" si="6"/>
        <v/>
      </c>
    </row>
    <row r="351" spans="12:12" x14ac:dyDescent="0.25">
      <c r="L351" s="30" t="str">
        <f t="shared" si="6"/>
        <v/>
      </c>
    </row>
    <row r="352" spans="12:12" x14ac:dyDescent="0.25">
      <c r="L352" s="30" t="str">
        <f t="shared" si="6"/>
        <v/>
      </c>
    </row>
    <row r="353" spans="12:12" x14ac:dyDescent="0.25">
      <c r="L353" s="30" t="str">
        <f t="shared" si="6"/>
        <v/>
      </c>
    </row>
    <row r="354" spans="12:12" x14ac:dyDescent="0.25">
      <c r="L354" s="30" t="str">
        <f t="shared" si="6"/>
        <v/>
      </c>
    </row>
    <row r="355" spans="12:12" x14ac:dyDescent="0.25">
      <c r="L355" s="30" t="str">
        <f t="shared" si="6"/>
        <v/>
      </c>
    </row>
    <row r="356" spans="12:12" x14ac:dyDescent="0.25">
      <c r="L356" s="30" t="str">
        <f t="shared" si="6"/>
        <v/>
      </c>
    </row>
    <row r="357" spans="12:12" x14ac:dyDescent="0.25">
      <c r="L357" s="30" t="str">
        <f t="shared" si="6"/>
        <v/>
      </c>
    </row>
    <row r="358" spans="12:12" x14ac:dyDescent="0.25">
      <c r="L358" s="30" t="str">
        <f t="shared" si="6"/>
        <v/>
      </c>
    </row>
    <row r="359" spans="12:12" x14ac:dyDescent="0.25">
      <c r="L359" s="30" t="str">
        <f t="shared" si="6"/>
        <v/>
      </c>
    </row>
    <row r="360" spans="12:12" x14ac:dyDescent="0.25">
      <c r="L360" s="30" t="str">
        <f t="shared" si="6"/>
        <v/>
      </c>
    </row>
    <row r="361" spans="12:12" x14ac:dyDescent="0.25">
      <c r="L361" s="30" t="str">
        <f t="shared" si="6"/>
        <v/>
      </c>
    </row>
    <row r="362" spans="12:12" x14ac:dyDescent="0.25">
      <c r="L362" s="30" t="str">
        <f t="shared" si="6"/>
        <v/>
      </c>
    </row>
    <row r="363" spans="12:12" x14ac:dyDescent="0.25">
      <c r="L363" s="30" t="str">
        <f t="shared" si="6"/>
        <v/>
      </c>
    </row>
    <row r="364" spans="12:12" x14ac:dyDescent="0.25">
      <c r="L364" s="30" t="str">
        <f t="shared" si="6"/>
        <v/>
      </c>
    </row>
    <row r="365" spans="12:12" x14ac:dyDescent="0.25">
      <c r="L365" s="30" t="str">
        <f t="shared" si="6"/>
        <v/>
      </c>
    </row>
    <row r="366" spans="12:12" x14ac:dyDescent="0.25">
      <c r="L366" s="30" t="str">
        <f t="shared" si="6"/>
        <v/>
      </c>
    </row>
    <row r="367" spans="12:12" x14ac:dyDescent="0.25">
      <c r="L367" s="30" t="str">
        <f t="shared" si="6"/>
        <v/>
      </c>
    </row>
    <row r="368" spans="12:12" x14ac:dyDescent="0.25">
      <c r="L368" s="30" t="str">
        <f t="shared" si="6"/>
        <v/>
      </c>
    </row>
    <row r="369" spans="12:12" x14ac:dyDescent="0.25">
      <c r="L369" s="30" t="str">
        <f t="shared" si="6"/>
        <v/>
      </c>
    </row>
    <row r="370" spans="12:12" x14ac:dyDescent="0.25">
      <c r="L370" s="30" t="str">
        <f t="shared" si="6"/>
        <v/>
      </c>
    </row>
    <row r="371" spans="12:12" x14ac:dyDescent="0.25">
      <c r="L371" s="30" t="str">
        <f t="shared" si="6"/>
        <v/>
      </c>
    </row>
    <row r="372" spans="12:12" x14ac:dyDescent="0.25">
      <c r="L372" s="30" t="str">
        <f t="shared" si="6"/>
        <v/>
      </c>
    </row>
    <row r="373" spans="12:12" x14ac:dyDescent="0.25">
      <c r="L373" s="30" t="str">
        <f t="shared" si="6"/>
        <v/>
      </c>
    </row>
    <row r="374" spans="12:12" x14ac:dyDescent="0.25">
      <c r="L374" s="30" t="str">
        <f t="shared" si="6"/>
        <v/>
      </c>
    </row>
    <row r="375" spans="12:12" x14ac:dyDescent="0.25">
      <c r="L375" s="30" t="str">
        <f t="shared" si="6"/>
        <v/>
      </c>
    </row>
    <row r="376" spans="12:12" x14ac:dyDescent="0.25">
      <c r="L376" s="30" t="str">
        <f t="shared" si="6"/>
        <v/>
      </c>
    </row>
    <row r="377" spans="12:12" x14ac:dyDescent="0.25">
      <c r="L377" s="30" t="str">
        <f t="shared" si="6"/>
        <v/>
      </c>
    </row>
    <row r="378" spans="12:12" x14ac:dyDescent="0.25">
      <c r="L378" s="30" t="str">
        <f t="shared" si="6"/>
        <v/>
      </c>
    </row>
    <row r="379" spans="12:12" x14ac:dyDescent="0.25">
      <c r="L379" s="30" t="str">
        <f t="shared" si="6"/>
        <v/>
      </c>
    </row>
    <row r="380" spans="12:12" x14ac:dyDescent="0.25">
      <c r="L380" s="30" t="str">
        <f t="shared" si="6"/>
        <v/>
      </c>
    </row>
    <row r="381" spans="12:12" x14ac:dyDescent="0.25">
      <c r="L381" s="30" t="str">
        <f t="shared" si="6"/>
        <v/>
      </c>
    </row>
    <row r="382" spans="12:12" x14ac:dyDescent="0.25">
      <c r="L382" s="30" t="str">
        <f t="shared" si="6"/>
        <v/>
      </c>
    </row>
    <row r="383" spans="12:12" x14ac:dyDescent="0.25">
      <c r="L383" s="30" t="str">
        <f t="shared" si="6"/>
        <v/>
      </c>
    </row>
    <row r="384" spans="12:12" x14ac:dyDescent="0.25">
      <c r="L384" s="30" t="str">
        <f t="shared" si="6"/>
        <v/>
      </c>
    </row>
    <row r="385" spans="12:12" x14ac:dyDescent="0.25">
      <c r="L385" s="30" t="str">
        <f t="shared" si="6"/>
        <v/>
      </c>
    </row>
    <row r="386" spans="12:12" x14ac:dyDescent="0.25">
      <c r="L386" s="30" t="str">
        <f t="shared" si="6"/>
        <v/>
      </c>
    </row>
    <row r="387" spans="12:12" x14ac:dyDescent="0.25">
      <c r="L387" s="30" t="str">
        <f t="shared" si="6"/>
        <v/>
      </c>
    </row>
    <row r="388" spans="12:12" x14ac:dyDescent="0.25">
      <c r="L388" s="30" t="str">
        <f t="shared" si="6"/>
        <v/>
      </c>
    </row>
    <row r="389" spans="12:12" x14ac:dyDescent="0.25">
      <c r="L389" s="30" t="str">
        <f t="shared" ref="L389:L452" si="7">IF(M389=$R$41,$S$41,IF(M389=$R$42,$S$42,IF(M389=$R$43,$S$43,IF(M389=$R$44,$S$44,IF(M389=$R$45,$S$45,"")))))</f>
        <v/>
      </c>
    </row>
    <row r="390" spans="12:12" x14ac:dyDescent="0.25">
      <c r="L390" s="30" t="str">
        <f t="shared" si="7"/>
        <v/>
      </c>
    </row>
    <row r="391" spans="12:12" x14ac:dyDescent="0.25">
      <c r="L391" s="30" t="str">
        <f t="shared" si="7"/>
        <v/>
      </c>
    </row>
    <row r="392" spans="12:12" x14ac:dyDescent="0.25">
      <c r="L392" s="30" t="str">
        <f t="shared" si="7"/>
        <v/>
      </c>
    </row>
    <row r="393" spans="12:12" x14ac:dyDescent="0.25">
      <c r="L393" s="30" t="str">
        <f t="shared" si="7"/>
        <v/>
      </c>
    </row>
    <row r="394" spans="12:12" x14ac:dyDescent="0.25">
      <c r="L394" s="30" t="str">
        <f t="shared" si="7"/>
        <v/>
      </c>
    </row>
    <row r="395" spans="12:12" x14ac:dyDescent="0.25">
      <c r="L395" s="30" t="str">
        <f t="shared" si="7"/>
        <v/>
      </c>
    </row>
    <row r="396" spans="12:12" x14ac:dyDescent="0.25">
      <c r="L396" s="30" t="str">
        <f t="shared" si="7"/>
        <v/>
      </c>
    </row>
    <row r="397" spans="12:12" x14ac:dyDescent="0.25">
      <c r="L397" s="30" t="str">
        <f t="shared" si="7"/>
        <v/>
      </c>
    </row>
    <row r="398" spans="12:12" x14ac:dyDescent="0.25">
      <c r="L398" s="30" t="str">
        <f t="shared" si="7"/>
        <v/>
      </c>
    </row>
    <row r="399" spans="12:12" x14ac:dyDescent="0.25">
      <c r="L399" s="30" t="str">
        <f t="shared" si="7"/>
        <v/>
      </c>
    </row>
    <row r="400" spans="12:12" x14ac:dyDescent="0.25">
      <c r="L400" s="30" t="str">
        <f t="shared" si="7"/>
        <v/>
      </c>
    </row>
    <row r="401" spans="12:12" x14ac:dyDescent="0.25">
      <c r="L401" s="30" t="str">
        <f t="shared" si="7"/>
        <v/>
      </c>
    </row>
    <row r="402" spans="12:12" x14ac:dyDescent="0.25">
      <c r="L402" s="30" t="str">
        <f t="shared" si="7"/>
        <v/>
      </c>
    </row>
    <row r="403" spans="12:12" x14ac:dyDescent="0.25">
      <c r="L403" s="30" t="str">
        <f t="shared" si="7"/>
        <v/>
      </c>
    </row>
    <row r="404" spans="12:12" x14ac:dyDescent="0.25">
      <c r="L404" s="30" t="str">
        <f t="shared" si="7"/>
        <v/>
      </c>
    </row>
    <row r="405" spans="12:12" x14ac:dyDescent="0.25">
      <c r="L405" s="30" t="str">
        <f t="shared" si="7"/>
        <v/>
      </c>
    </row>
    <row r="406" spans="12:12" x14ac:dyDescent="0.25">
      <c r="L406" s="30" t="str">
        <f t="shared" si="7"/>
        <v/>
      </c>
    </row>
    <row r="407" spans="12:12" x14ac:dyDescent="0.25">
      <c r="L407" s="30" t="str">
        <f t="shared" si="7"/>
        <v/>
      </c>
    </row>
    <row r="408" spans="12:12" x14ac:dyDescent="0.25">
      <c r="L408" s="30" t="str">
        <f t="shared" si="7"/>
        <v/>
      </c>
    </row>
    <row r="409" spans="12:12" x14ac:dyDescent="0.25">
      <c r="L409" s="30" t="str">
        <f t="shared" si="7"/>
        <v/>
      </c>
    </row>
    <row r="410" spans="12:12" x14ac:dyDescent="0.25">
      <c r="L410" s="30" t="str">
        <f t="shared" si="7"/>
        <v/>
      </c>
    </row>
    <row r="411" spans="12:12" x14ac:dyDescent="0.25">
      <c r="L411" s="30" t="str">
        <f t="shared" si="7"/>
        <v/>
      </c>
    </row>
    <row r="412" spans="12:12" x14ac:dyDescent="0.25">
      <c r="L412" s="30" t="str">
        <f t="shared" si="7"/>
        <v/>
      </c>
    </row>
    <row r="413" spans="12:12" x14ac:dyDescent="0.25">
      <c r="L413" s="30" t="str">
        <f t="shared" si="7"/>
        <v/>
      </c>
    </row>
    <row r="414" spans="12:12" x14ac:dyDescent="0.25">
      <c r="L414" s="30" t="str">
        <f t="shared" si="7"/>
        <v/>
      </c>
    </row>
    <row r="415" spans="12:12" x14ac:dyDescent="0.25">
      <c r="L415" s="30" t="str">
        <f t="shared" si="7"/>
        <v/>
      </c>
    </row>
    <row r="416" spans="12:12" x14ac:dyDescent="0.25">
      <c r="L416" s="30" t="str">
        <f t="shared" si="7"/>
        <v/>
      </c>
    </row>
    <row r="417" spans="12:12" x14ac:dyDescent="0.25">
      <c r="L417" s="30" t="str">
        <f t="shared" si="7"/>
        <v/>
      </c>
    </row>
    <row r="418" spans="12:12" x14ac:dyDescent="0.25">
      <c r="L418" s="30" t="str">
        <f t="shared" si="7"/>
        <v/>
      </c>
    </row>
    <row r="419" spans="12:12" x14ac:dyDescent="0.25">
      <c r="L419" s="30" t="str">
        <f t="shared" si="7"/>
        <v/>
      </c>
    </row>
    <row r="420" spans="12:12" x14ac:dyDescent="0.25">
      <c r="L420" s="30" t="str">
        <f t="shared" si="7"/>
        <v/>
      </c>
    </row>
    <row r="421" spans="12:12" x14ac:dyDescent="0.25">
      <c r="L421" s="30" t="str">
        <f t="shared" si="7"/>
        <v/>
      </c>
    </row>
    <row r="422" spans="12:12" x14ac:dyDescent="0.25">
      <c r="L422" s="30" t="str">
        <f t="shared" si="7"/>
        <v/>
      </c>
    </row>
    <row r="423" spans="12:12" x14ac:dyDescent="0.25">
      <c r="L423" s="30" t="str">
        <f t="shared" si="7"/>
        <v/>
      </c>
    </row>
    <row r="424" spans="12:12" x14ac:dyDescent="0.25">
      <c r="L424" s="30" t="str">
        <f t="shared" si="7"/>
        <v/>
      </c>
    </row>
    <row r="425" spans="12:12" x14ac:dyDescent="0.25">
      <c r="L425" s="30" t="str">
        <f t="shared" si="7"/>
        <v/>
      </c>
    </row>
    <row r="426" spans="12:12" x14ac:dyDescent="0.25">
      <c r="L426" s="30" t="str">
        <f t="shared" si="7"/>
        <v/>
      </c>
    </row>
    <row r="427" spans="12:12" x14ac:dyDescent="0.25">
      <c r="L427" s="30" t="str">
        <f t="shared" si="7"/>
        <v/>
      </c>
    </row>
    <row r="428" spans="12:12" x14ac:dyDescent="0.25">
      <c r="L428" s="30" t="str">
        <f t="shared" si="7"/>
        <v/>
      </c>
    </row>
    <row r="429" spans="12:12" x14ac:dyDescent="0.25">
      <c r="L429" s="30" t="str">
        <f t="shared" si="7"/>
        <v/>
      </c>
    </row>
    <row r="430" spans="12:12" x14ac:dyDescent="0.25">
      <c r="L430" s="30" t="str">
        <f t="shared" si="7"/>
        <v/>
      </c>
    </row>
    <row r="431" spans="12:12" x14ac:dyDescent="0.25">
      <c r="L431" s="30" t="str">
        <f t="shared" si="7"/>
        <v/>
      </c>
    </row>
    <row r="432" spans="12:12" x14ac:dyDescent="0.25">
      <c r="L432" s="30" t="str">
        <f t="shared" si="7"/>
        <v/>
      </c>
    </row>
    <row r="433" spans="12:12" x14ac:dyDescent="0.25">
      <c r="L433" s="30" t="str">
        <f t="shared" si="7"/>
        <v/>
      </c>
    </row>
    <row r="434" spans="12:12" x14ac:dyDescent="0.25">
      <c r="L434" s="30" t="str">
        <f t="shared" si="7"/>
        <v/>
      </c>
    </row>
    <row r="435" spans="12:12" x14ac:dyDescent="0.25">
      <c r="L435" s="30" t="str">
        <f t="shared" si="7"/>
        <v/>
      </c>
    </row>
    <row r="436" spans="12:12" x14ac:dyDescent="0.25">
      <c r="L436" s="30" t="str">
        <f t="shared" si="7"/>
        <v/>
      </c>
    </row>
    <row r="437" spans="12:12" x14ac:dyDescent="0.25">
      <c r="L437" s="30" t="str">
        <f t="shared" si="7"/>
        <v/>
      </c>
    </row>
    <row r="438" spans="12:12" x14ac:dyDescent="0.25">
      <c r="L438" s="30" t="str">
        <f t="shared" si="7"/>
        <v/>
      </c>
    </row>
    <row r="439" spans="12:12" x14ac:dyDescent="0.25">
      <c r="L439" s="30" t="str">
        <f t="shared" si="7"/>
        <v/>
      </c>
    </row>
    <row r="440" spans="12:12" x14ac:dyDescent="0.25">
      <c r="L440" s="30" t="str">
        <f t="shared" si="7"/>
        <v/>
      </c>
    </row>
    <row r="441" spans="12:12" x14ac:dyDescent="0.25">
      <c r="L441" s="30" t="str">
        <f t="shared" si="7"/>
        <v/>
      </c>
    </row>
    <row r="442" spans="12:12" x14ac:dyDescent="0.25">
      <c r="L442" s="30" t="str">
        <f t="shared" si="7"/>
        <v/>
      </c>
    </row>
    <row r="443" spans="12:12" x14ac:dyDescent="0.25">
      <c r="L443" s="30" t="str">
        <f t="shared" si="7"/>
        <v/>
      </c>
    </row>
    <row r="444" spans="12:12" x14ac:dyDescent="0.25">
      <c r="L444" s="30" t="str">
        <f t="shared" si="7"/>
        <v/>
      </c>
    </row>
    <row r="445" spans="12:12" x14ac:dyDescent="0.25">
      <c r="L445" s="30" t="str">
        <f t="shared" si="7"/>
        <v/>
      </c>
    </row>
    <row r="446" spans="12:12" x14ac:dyDescent="0.25">
      <c r="L446" s="30" t="str">
        <f t="shared" si="7"/>
        <v/>
      </c>
    </row>
    <row r="447" spans="12:12" x14ac:dyDescent="0.25">
      <c r="L447" s="30" t="str">
        <f t="shared" si="7"/>
        <v/>
      </c>
    </row>
    <row r="448" spans="12:12" x14ac:dyDescent="0.25">
      <c r="L448" s="30" t="str">
        <f t="shared" si="7"/>
        <v/>
      </c>
    </row>
    <row r="449" spans="12:12" x14ac:dyDescent="0.25">
      <c r="L449" s="30" t="str">
        <f t="shared" si="7"/>
        <v/>
      </c>
    </row>
    <row r="450" spans="12:12" x14ac:dyDescent="0.25">
      <c r="L450" s="30" t="str">
        <f t="shared" si="7"/>
        <v/>
      </c>
    </row>
    <row r="451" spans="12:12" x14ac:dyDescent="0.25">
      <c r="L451" s="30" t="str">
        <f t="shared" si="7"/>
        <v/>
      </c>
    </row>
    <row r="452" spans="12:12" x14ac:dyDescent="0.25">
      <c r="L452" s="30" t="str">
        <f t="shared" si="7"/>
        <v/>
      </c>
    </row>
    <row r="453" spans="12:12" x14ac:dyDescent="0.25">
      <c r="L453" s="30" t="str">
        <f t="shared" ref="L453:L500" si="8">IF(M453=$R$41,$S$41,IF(M453=$R$42,$S$42,IF(M453=$R$43,$S$43,IF(M453=$R$44,$S$44,IF(M453=$R$45,$S$45,"")))))</f>
        <v/>
      </c>
    </row>
    <row r="454" spans="12:12" x14ac:dyDescent="0.25">
      <c r="L454" s="30" t="str">
        <f t="shared" si="8"/>
        <v/>
      </c>
    </row>
    <row r="455" spans="12:12" x14ac:dyDescent="0.25">
      <c r="L455" s="30" t="str">
        <f t="shared" si="8"/>
        <v/>
      </c>
    </row>
    <row r="456" spans="12:12" x14ac:dyDescent="0.25">
      <c r="L456" s="30" t="str">
        <f t="shared" si="8"/>
        <v/>
      </c>
    </row>
    <row r="457" spans="12:12" x14ac:dyDescent="0.25">
      <c r="L457" s="30" t="str">
        <f t="shared" si="8"/>
        <v/>
      </c>
    </row>
    <row r="458" spans="12:12" x14ac:dyDescent="0.25">
      <c r="L458" s="30" t="str">
        <f t="shared" si="8"/>
        <v/>
      </c>
    </row>
    <row r="459" spans="12:12" x14ac:dyDescent="0.25">
      <c r="L459" s="30" t="str">
        <f t="shared" si="8"/>
        <v/>
      </c>
    </row>
    <row r="460" spans="12:12" x14ac:dyDescent="0.25">
      <c r="L460" s="30" t="str">
        <f t="shared" si="8"/>
        <v/>
      </c>
    </row>
    <row r="461" spans="12:12" x14ac:dyDescent="0.25">
      <c r="L461" s="30" t="str">
        <f t="shared" si="8"/>
        <v/>
      </c>
    </row>
    <row r="462" spans="12:12" x14ac:dyDescent="0.25">
      <c r="L462" s="30" t="str">
        <f t="shared" si="8"/>
        <v/>
      </c>
    </row>
    <row r="463" spans="12:12" x14ac:dyDescent="0.25">
      <c r="L463" s="30" t="str">
        <f t="shared" si="8"/>
        <v/>
      </c>
    </row>
    <row r="464" spans="12:12" x14ac:dyDescent="0.25">
      <c r="L464" s="30" t="str">
        <f t="shared" si="8"/>
        <v/>
      </c>
    </row>
    <row r="465" spans="12:12" x14ac:dyDescent="0.25">
      <c r="L465" s="30" t="str">
        <f t="shared" si="8"/>
        <v/>
      </c>
    </row>
    <row r="466" spans="12:12" x14ac:dyDescent="0.25">
      <c r="L466" s="30" t="str">
        <f t="shared" si="8"/>
        <v/>
      </c>
    </row>
    <row r="467" spans="12:12" x14ac:dyDescent="0.25">
      <c r="L467" s="30" t="str">
        <f t="shared" si="8"/>
        <v/>
      </c>
    </row>
    <row r="468" spans="12:12" x14ac:dyDescent="0.25">
      <c r="L468" s="30" t="str">
        <f t="shared" si="8"/>
        <v/>
      </c>
    </row>
    <row r="469" spans="12:12" x14ac:dyDescent="0.25">
      <c r="L469" s="30" t="str">
        <f t="shared" si="8"/>
        <v/>
      </c>
    </row>
    <row r="470" spans="12:12" x14ac:dyDescent="0.25">
      <c r="L470" s="30" t="str">
        <f t="shared" si="8"/>
        <v/>
      </c>
    </row>
    <row r="471" spans="12:12" x14ac:dyDescent="0.25">
      <c r="L471" s="30" t="str">
        <f t="shared" si="8"/>
        <v/>
      </c>
    </row>
    <row r="472" spans="12:12" x14ac:dyDescent="0.25">
      <c r="L472" s="30" t="str">
        <f t="shared" si="8"/>
        <v/>
      </c>
    </row>
    <row r="473" spans="12:12" x14ac:dyDescent="0.25">
      <c r="L473" s="30" t="str">
        <f t="shared" si="8"/>
        <v/>
      </c>
    </row>
    <row r="474" spans="12:12" x14ac:dyDescent="0.25">
      <c r="L474" s="30" t="str">
        <f t="shared" si="8"/>
        <v/>
      </c>
    </row>
    <row r="475" spans="12:12" x14ac:dyDescent="0.25">
      <c r="L475" s="30" t="str">
        <f t="shared" si="8"/>
        <v/>
      </c>
    </row>
    <row r="476" spans="12:12" x14ac:dyDescent="0.25">
      <c r="L476" s="30" t="str">
        <f t="shared" si="8"/>
        <v/>
      </c>
    </row>
    <row r="477" spans="12:12" x14ac:dyDescent="0.25">
      <c r="L477" s="30" t="str">
        <f t="shared" si="8"/>
        <v/>
      </c>
    </row>
    <row r="478" spans="12:12" x14ac:dyDescent="0.25">
      <c r="L478" s="30" t="str">
        <f t="shared" si="8"/>
        <v/>
      </c>
    </row>
    <row r="479" spans="12:12" x14ac:dyDescent="0.25">
      <c r="L479" s="30" t="str">
        <f t="shared" si="8"/>
        <v/>
      </c>
    </row>
    <row r="480" spans="12:12" x14ac:dyDescent="0.25">
      <c r="L480" s="30" t="str">
        <f t="shared" si="8"/>
        <v/>
      </c>
    </row>
    <row r="481" spans="12:12" x14ac:dyDescent="0.25">
      <c r="L481" s="30" t="str">
        <f t="shared" si="8"/>
        <v/>
      </c>
    </row>
    <row r="482" spans="12:12" x14ac:dyDescent="0.25">
      <c r="L482" s="30" t="str">
        <f t="shared" si="8"/>
        <v/>
      </c>
    </row>
    <row r="483" spans="12:12" x14ac:dyDescent="0.25">
      <c r="L483" s="30" t="str">
        <f t="shared" si="8"/>
        <v/>
      </c>
    </row>
    <row r="484" spans="12:12" x14ac:dyDescent="0.25">
      <c r="L484" s="30" t="str">
        <f t="shared" si="8"/>
        <v/>
      </c>
    </row>
    <row r="485" spans="12:12" x14ac:dyDescent="0.25">
      <c r="L485" s="30" t="str">
        <f t="shared" si="8"/>
        <v/>
      </c>
    </row>
    <row r="486" spans="12:12" x14ac:dyDescent="0.25">
      <c r="L486" s="30" t="str">
        <f t="shared" si="8"/>
        <v/>
      </c>
    </row>
    <row r="487" spans="12:12" x14ac:dyDescent="0.25">
      <c r="L487" s="30" t="str">
        <f t="shared" si="8"/>
        <v/>
      </c>
    </row>
    <row r="488" spans="12:12" x14ac:dyDescent="0.25">
      <c r="L488" s="30" t="str">
        <f t="shared" si="8"/>
        <v/>
      </c>
    </row>
    <row r="489" spans="12:12" x14ac:dyDescent="0.25">
      <c r="L489" s="30" t="str">
        <f t="shared" si="8"/>
        <v/>
      </c>
    </row>
    <row r="490" spans="12:12" x14ac:dyDescent="0.25">
      <c r="L490" s="30" t="str">
        <f t="shared" si="8"/>
        <v/>
      </c>
    </row>
    <row r="491" spans="12:12" x14ac:dyDescent="0.25">
      <c r="L491" s="30" t="str">
        <f t="shared" si="8"/>
        <v/>
      </c>
    </row>
    <row r="492" spans="12:12" x14ac:dyDescent="0.25">
      <c r="L492" s="30" t="str">
        <f t="shared" si="8"/>
        <v/>
      </c>
    </row>
    <row r="493" spans="12:12" x14ac:dyDescent="0.25">
      <c r="L493" s="30" t="str">
        <f t="shared" si="8"/>
        <v/>
      </c>
    </row>
    <row r="494" spans="12:12" x14ac:dyDescent="0.25">
      <c r="L494" s="30" t="str">
        <f t="shared" si="8"/>
        <v/>
      </c>
    </row>
    <row r="495" spans="12:12" x14ac:dyDescent="0.25">
      <c r="L495" s="30" t="str">
        <f t="shared" si="8"/>
        <v/>
      </c>
    </row>
    <row r="496" spans="12:12" x14ac:dyDescent="0.25">
      <c r="L496" s="30" t="str">
        <f t="shared" si="8"/>
        <v/>
      </c>
    </row>
    <row r="497" spans="12:12" x14ac:dyDescent="0.25">
      <c r="L497" s="30" t="str">
        <f t="shared" si="8"/>
        <v/>
      </c>
    </row>
    <row r="498" spans="12:12" x14ac:dyDescent="0.25">
      <c r="L498" s="30" t="str">
        <f t="shared" si="8"/>
        <v/>
      </c>
    </row>
    <row r="499" spans="12:12" x14ac:dyDescent="0.25">
      <c r="L499" s="30" t="str">
        <f t="shared" si="8"/>
        <v/>
      </c>
    </row>
    <row r="500" spans="12:12" x14ac:dyDescent="0.25">
      <c r="L500" s="30" t="str">
        <f t="shared" si="8"/>
        <v/>
      </c>
    </row>
  </sheetData>
  <sheetProtection sheet="1" objects="1" scenarios="1" selectLockedCells="1"/>
  <mergeCells count="38">
    <mergeCell ref="C15:D15"/>
    <mergeCell ref="C16:D16"/>
    <mergeCell ref="G14:H14"/>
    <mergeCell ref="A1:B1"/>
    <mergeCell ref="B3:D3"/>
    <mergeCell ref="B4:D4"/>
    <mergeCell ref="B5:D5"/>
    <mergeCell ref="B7:D7"/>
    <mergeCell ref="G7:I8"/>
    <mergeCell ref="B8:D8"/>
    <mergeCell ref="B9:D9"/>
    <mergeCell ref="B10:D10"/>
    <mergeCell ref="B11:D11"/>
    <mergeCell ref="C13:D13"/>
    <mergeCell ref="C14:D14"/>
    <mergeCell ref="G16:J16"/>
    <mergeCell ref="C17:D17"/>
    <mergeCell ref="G17:H17"/>
    <mergeCell ref="C19:D19"/>
    <mergeCell ref="C23:D23"/>
    <mergeCell ref="C18:D18"/>
    <mergeCell ref="G24:H24"/>
    <mergeCell ref="C25:D25"/>
    <mergeCell ref="G25:H25"/>
    <mergeCell ref="F28:F30"/>
    <mergeCell ref="G29:H29"/>
    <mergeCell ref="C30:D30"/>
    <mergeCell ref="F32:F35"/>
    <mergeCell ref="C33:D33"/>
    <mergeCell ref="C34:D34"/>
    <mergeCell ref="C35:D35"/>
    <mergeCell ref="C24:D24"/>
    <mergeCell ref="C36:D36"/>
    <mergeCell ref="C37:D37"/>
    <mergeCell ref="C38:D38"/>
    <mergeCell ref="C26:D26"/>
    <mergeCell ref="C28:D28"/>
    <mergeCell ref="C32:D32"/>
  </mergeCells>
  <conditionalFormatting sqref="L4:L500">
    <cfRule type="containsText" dxfId="1" priority="1" operator="containsText" text="*nach*">
      <formula>NOT(ISERROR(SEARCH("*nach*",L4)))</formula>
    </cfRule>
    <cfRule type="containsText" dxfId="0" priority="2" operator="containsText" text="*aus*">
      <formula>NOT(ISERROR(SEARCH("*aus*",L4)))</formula>
    </cfRule>
  </conditionalFormatting>
  <dataValidations count="4">
    <dataValidation type="list" allowBlank="1" showInputMessage="1" showErrorMessage="1" error="Bitte ja oder nein eingeben." sqref="C29" xr:uid="{00000000-0002-0000-0900-000000000000}">
      <formula1>"ja,nein"</formula1>
    </dataValidation>
    <dataValidation type="list" allowBlank="1" showInputMessage="1" showErrorMessage="1" error="Bitte nur Zahlen von 1-6 eingeben." sqref="C17:D17" xr:uid="{00000000-0002-0000-0900-000001000000}">
      <formula1>"1,2,3,4,5,6"</formula1>
    </dataValidation>
    <dataValidation type="list" allowBlank="1" showInputMessage="1" showErrorMessage="1" sqref="C16" xr:uid="{00000000-0002-0000-0900-000002000000}">
      <formula1>"ja,nein"</formula1>
    </dataValidation>
    <dataValidation type="list" allowBlank="1" showInputMessage="1" showErrorMessage="1" sqref="C14" xr:uid="{00000000-0002-0000-0900-000003000000}">
      <formula1>"AOK,BEK,DAK,KKH"</formula1>
    </dataValidation>
  </dataValidations>
  <pageMargins left="0.70866141732283472" right="0.70866141732283472" top="0.78740157480314965" bottom="0.78740157480314965" header="0.31496062992125984" footer="0.31496062992125984"/>
  <pageSetup paperSize="9" scale="68"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C2704"/>
  </sheetPr>
  <dimension ref="A1"/>
  <sheetViews>
    <sheetView workbookViewId="0"/>
  </sheetViews>
  <sheetFormatPr baseColWidth="10" defaultColWidth="11.42578125" defaultRowHeight="15" x14ac:dyDescent="0.25"/>
  <cols>
    <col min="1" max="16384" width="11.42578125" style="30"/>
  </cols>
  <sheetData/>
  <sheetProtection sheet="1" objects="1" scenarios="1" selectLockedCells="1"/>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pageSetUpPr fitToPage="1"/>
  </sheetPr>
  <dimension ref="A1:F11"/>
  <sheetViews>
    <sheetView zoomScale="120" zoomScaleNormal="120" workbookViewId="0">
      <pane ySplit="3" topLeftCell="A4" activePane="bottomLeft" state="frozen"/>
      <selection pane="bottomLeft" activeCell="B4" sqref="B4"/>
    </sheetView>
  </sheetViews>
  <sheetFormatPr baseColWidth="10" defaultRowHeight="15" x14ac:dyDescent="0.25"/>
  <cols>
    <col min="1" max="1" width="26.7109375" bestFit="1" customWidth="1"/>
    <col min="2" max="2" width="22.28515625" bestFit="1" customWidth="1"/>
  </cols>
  <sheetData>
    <row r="1" spans="1:6" ht="21" x14ac:dyDescent="0.35">
      <c r="A1" s="281" t="s">
        <v>297</v>
      </c>
      <c r="B1" s="281"/>
    </row>
    <row r="2" spans="1:6" ht="21" x14ac:dyDescent="0.35">
      <c r="A2" s="31"/>
      <c r="B2" s="32"/>
    </row>
    <row r="3" spans="1:6" x14ac:dyDescent="0.25">
      <c r="A3" s="79" t="s">
        <v>62</v>
      </c>
      <c r="B3" s="79" t="s">
        <v>16</v>
      </c>
    </row>
    <row r="4" spans="1:6" x14ac:dyDescent="0.25">
      <c r="A4" s="8" t="s">
        <v>17</v>
      </c>
      <c r="B4" s="139">
        <v>7.85</v>
      </c>
      <c r="D4" s="282" t="s">
        <v>109</v>
      </c>
      <c r="E4" s="283"/>
      <c r="F4" s="283"/>
    </row>
    <row r="5" spans="1:6" s="30" customFormat="1" x14ac:dyDescent="0.25">
      <c r="A5" s="8" t="s">
        <v>18</v>
      </c>
      <c r="B5" s="139">
        <v>7.85</v>
      </c>
      <c r="D5" s="283"/>
      <c r="E5" s="283"/>
      <c r="F5" s="283"/>
    </row>
    <row r="6" spans="1:6" s="30" customFormat="1" x14ac:dyDescent="0.25">
      <c r="A6" s="8" t="s">
        <v>19</v>
      </c>
      <c r="B6" s="139">
        <v>8.0500000000000007</v>
      </c>
      <c r="D6" s="283"/>
      <c r="E6" s="283"/>
      <c r="F6" s="283"/>
    </row>
    <row r="7" spans="1:6" s="30" customFormat="1" x14ac:dyDescent="0.25">
      <c r="A7" s="8" t="s">
        <v>20</v>
      </c>
      <c r="B7" s="139">
        <v>8.0500000000000007</v>
      </c>
      <c r="D7" s="283"/>
      <c r="E7" s="283"/>
      <c r="F7" s="283"/>
    </row>
    <row r="8" spans="1:6" x14ac:dyDescent="0.25">
      <c r="A8" s="8" t="s">
        <v>10</v>
      </c>
      <c r="B8" s="139">
        <f>18.6/2</f>
        <v>9.3000000000000007</v>
      </c>
      <c r="D8" s="283"/>
      <c r="E8" s="283"/>
      <c r="F8" s="283"/>
    </row>
    <row r="9" spans="1:6" x14ac:dyDescent="0.25">
      <c r="A9" s="8" t="s">
        <v>12</v>
      </c>
      <c r="B9" s="140">
        <f>2.4/2</f>
        <v>1.2</v>
      </c>
      <c r="D9" s="283"/>
      <c r="E9" s="283"/>
      <c r="F9" s="283"/>
    </row>
    <row r="10" spans="1:6" x14ac:dyDescent="0.25">
      <c r="A10" s="8" t="s">
        <v>11</v>
      </c>
      <c r="B10" s="141">
        <f>3.05/2</f>
        <v>1.5249999999999999</v>
      </c>
      <c r="D10" s="283"/>
      <c r="E10" s="283"/>
      <c r="F10" s="283"/>
    </row>
    <row r="11" spans="1:6" x14ac:dyDescent="0.25">
      <c r="A11" s="9" t="s">
        <v>23</v>
      </c>
      <c r="B11" s="140">
        <v>0.25</v>
      </c>
    </row>
  </sheetData>
  <sheetProtection sheet="1" objects="1" scenarios="1" selectLockedCells="1"/>
  <mergeCells count="2">
    <mergeCell ref="A1:B1"/>
    <mergeCell ref="D4:F10"/>
  </mergeCells>
  <pageMargins left="0.70866141732283472" right="0.70866141732283472" top="0.78740157480314965" bottom="0.78740157480314965" header="0.31496062992125984" footer="0.31496062992125984"/>
  <pageSetup paperSize="9" scale="95" orientation="portrait" r:id="rId1"/>
  <ignoredErrors>
    <ignoredError sqref="B8:B9 B1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M62"/>
  <sheetViews>
    <sheetView zoomScale="120" zoomScaleNormal="120" workbookViewId="0">
      <pane ySplit="5" topLeftCell="A6" activePane="bottomLeft" state="frozen"/>
      <selection activeCell="D40" sqref="D40"/>
      <selection pane="bottomLeft" activeCell="C1" sqref="C1"/>
    </sheetView>
  </sheetViews>
  <sheetFormatPr baseColWidth="10" defaultColWidth="11.42578125" defaultRowHeight="15" x14ac:dyDescent="0.25"/>
  <cols>
    <col min="1" max="1" width="17.85546875" style="30" customWidth="1"/>
    <col min="2" max="2" width="18.140625" style="30" customWidth="1"/>
    <col min="3" max="3" width="5.28515625" style="30" customWidth="1"/>
    <col min="4" max="4" width="19.28515625" style="30" customWidth="1"/>
    <col min="5" max="5" width="13.5703125" style="30" bestFit="1" customWidth="1"/>
    <col min="6" max="9" width="13.28515625" style="30" customWidth="1"/>
    <col min="10" max="16384" width="11.42578125" style="30"/>
  </cols>
  <sheetData>
    <row r="1" spans="1:9" ht="27" customHeight="1" x14ac:dyDescent="0.25">
      <c r="A1" s="201" t="s">
        <v>27</v>
      </c>
      <c r="B1" s="201"/>
      <c r="C1" s="137">
        <v>1</v>
      </c>
      <c r="D1" s="137">
        <v>2020</v>
      </c>
      <c r="F1" s="202" t="s">
        <v>26</v>
      </c>
      <c r="G1" s="202"/>
      <c r="H1" s="202"/>
    </row>
    <row r="2" spans="1:9" ht="15.75" thickBot="1" x14ac:dyDescent="0.3">
      <c r="B2" s="4"/>
      <c r="C2" s="4"/>
      <c r="D2" s="4"/>
      <c r="E2" s="2"/>
      <c r="F2" s="2"/>
    </row>
    <row r="3" spans="1:9" x14ac:dyDescent="0.25">
      <c r="A3" s="19" t="s">
        <v>28</v>
      </c>
      <c r="B3" s="209" t="s">
        <v>68</v>
      </c>
      <c r="C3" s="210"/>
      <c r="D3" s="211"/>
      <c r="E3" s="2"/>
      <c r="F3" s="202" t="s">
        <v>82</v>
      </c>
      <c r="G3" s="202"/>
      <c r="H3" s="202"/>
    </row>
    <row r="4" spans="1:9" x14ac:dyDescent="0.25">
      <c r="A4" s="20"/>
      <c r="B4" s="212" t="s">
        <v>70</v>
      </c>
      <c r="C4" s="213"/>
      <c r="D4" s="214"/>
      <c r="E4" s="2"/>
      <c r="F4" s="2"/>
    </row>
    <row r="5" spans="1:9" ht="15.75" thickBot="1" x14ac:dyDescent="0.3">
      <c r="A5" s="21"/>
      <c r="B5" s="215" t="s">
        <v>69</v>
      </c>
      <c r="C5" s="216"/>
      <c r="D5" s="217"/>
      <c r="E5" s="2"/>
      <c r="F5" s="2"/>
      <c r="H5" s="2"/>
      <c r="I5" s="2"/>
    </row>
    <row r="6" spans="1:9" ht="15.75" thickBot="1" x14ac:dyDescent="0.3">
      <c r="B6" s="2"/>
      <c r="C6" s="2"/>
      <c r="D6" s="3"/>
      <c r="E6" s="2"/>
      <c r="H6" s="2"/>
      <c r="I6" s="2"/>
    </row>
    <row r="7" spans="1:9" ht="15.75" x14ac:dyDescent="0.25">
      <c r="A7" s="25" t="s">
        <v>5</v>
      </c>
      <c r="B7" s="220" t="s">
        <v>29</v>
      </c>
      <c r="C7" s="221"/>
      <c r="D7" s="222"/>
    </row>
    <row r="8" spans="1:9" x14ac:dyDescent="0.25">
      <c r="A8" s="28" t="s">
        <v>21</v>
      </c>
      <c r="B8" s="223"/>
      <c r="C8" s="224"/>
      <c r="D8" s="225"/>
    </row>
    <row r="9" spans="1:9" x14ac:dyDescent="0.25">
      <c r="A9" s="28"/>
      <c r="B9" s="223"/>
      <c r="C9" s="224"/>
      <c r="D9" s="225"/>
      <c r="F9" s="2"/>
      <c r="G9" s="2"/>
    </row>
    <row r="10" spans="1:9" x14ac:dyDescent="0.25">
      <c r="A10" s="28"/>
      <c r="B10" s="223"/>
      <c r="C10" s="224"/>
      <c r="D10" s="225"/>
      <c r="E10" s="2"/>
      <c r="F10" s="2"/>
      <c r="G10" s="2"/>
    </row>
    <row r="11" spans="1:9" ht="15.75" thickBot="1" x14ac:dyDescent="0.3">
      <c r="A11" s="29"/>
      <c r="B11" s="226"/>
      <c r="C11" s="227"/>
      <c r="D11" s="228"/>
      <c r="F11" s="2"/>
      <c r="G11" s="2"/>
    </row>
    <row r="12" spans="1:9" ht="15.75" thickBot="1" x14ac:dyDescent="0.3">
      <c r="A12" s="4"/>
      <c r="B12" s="2"/>
      <c r="C12" s="2"/>
      <c r="F12" s="2"/>
      <c r="G12" s="2"/>
    </row>
    <row r="13" spans="1:9" ht="15.75" x14ac:dyDescent="0.25">
      <c r="A13" s="36" t="s">
        <v>6</v>
      </c>
      <c r="B13" s="64"/>
      <c r="C13" s="229" t="s">
        <v>29</v>
      </c>
      <c r="D13" s="230"/>
      <c r="E13" s="60"/>
      <c r="G13" s="2"/>
    </row>
    <row r="14" spans="1:9" x14ac:dyDescent="0.25">
      <c r="A14" s="37" t="s">
        <v>0</v>
      </c>
      <c r="B14" s="61"/>
      <c r="C14" s="224"/>
      <c r="D14" s="231"/>
      <c r="E14" s="60"/>
      <c r="G14" s="2"/>
    </row>
    <row r="15" spans="1:9" x14ac:dyDescent="0.25">
      <c r="A15" s="37" t="s">
        <v>1</v>
      </c>
      <c r="B15" s="62"/>
      <c r="C15" s="224"/>
      <c r="D15" s="231"/>
      <c r="E15" s="60"/>
      <c r="G15" s="2"/>
    </row>
    <row r="16" spans="1:9" x14ac:dyDescent="0.25">
      <c r="A16" s="37" t="s">
        <v>24</v>
      </c>
      <c r="B16" s="63"/>
      <c r="C16" s="224"/>
      <c r="D16" s="231"/>
      <c r="E16" s="60"/>
      <c r="G16" s="2"/>
    </row>
    <row r="17" spans="1:13" x14ac:dyDescent="0.25">
      <c r="A17" s="37" t="s">
        <v>2</v>
      </c>
      <c r="B17" s="63"/>
      <c r="C17" s="224"/>
      <c r="D17" s="231"/>
      <c r="E17" s="60"/>
    </row>
    <row r="18" spans="1:13" x14ac:dyDescent="0.25">
      <c r="A18" s="37" t="s">
        <v>3</v>
      </c>
      <c r="B18" s="35"/>
      <c r="C18" s="224"/>
      <c r="D18" s="231"/>
      <c r="E18" s="60"/>
    </row>
    <row r="19" spans="1:13" ht="15.75" thickBot="1" x14ac:dyDescent="0.3">
      <c r="A19" s="38" t="s">
        <v>4</v>
      </c>
      <c r="B19" s="65"/>
      <c r="C19" s="232"/>
      <c r="D19" s="233"/>
      <c r="E19" s="60"/>
    </row>
    <row r="21" spans="1:13" ht="15.75" thickBot="1" x14ac:dyDescent="0.3">
      <c r="G21" s="2"/>
    </row>
    <row r="22" spans="1:13" ht="15.75" thickBot="1" x14ac:dyDescent="0.3">
      <c r="A22" s="85" t="s">
        <v>7</v>
      </c>
      <c r="B22" s="86" t="s">
        <v>31</v>
      </c>
      <c r="C22" s="86" t="s">
        <v>8</v>
      </c>
      <c r="D22" s="90"/>
      <c r="E22" s="2"/>
      <c r="F22" s="107" t="s">
        <v>117</v>
      </c>
      <c r="G22" s="108"/>
      <c r="H22" s="108"/>
      <c r="I22" s="108"/>
      <c r="J22" s="108"/>
      <c r="K22" s="108"/>
      <c r="L22" s="108"/>
    </row>
    <row r="23" spans="1:13" ht="15.75" thickBot="1" x14ac:dyDescent="0.3">
      <c r="A23" s="51" t="s">
        <v>15</v>
      </c>
      <c r="B23" s="48"/>
      <c r="C23" s="199">
        <f>SUM(Start:Ende!C23)</f>
        <v>0</v>
      </c>
      <c r="D23" s="200"/>
      <c r="E23" s="2"/>
      <c r="F23" s="108"/>
      <c r="G23" s="108"/>
      <c r="H23" s="108"/>
      <c r="I23" s="108"/>
      <c r="J23" s="108"/>
      <c r="K23" s="108"/>
      <c r="L23" s="108"/>
    </row>
    <row r="24" spans="1:13" x14ac:dyDescent="0.25">
      <c r="A24" s="44"/>
      <c r="B24" s="87" t="s">
        <v>9</v>
      </c>
      <c r="C24" s="203">
        <f>SUM(Start:Ende!C24)</f>
        <v>0</v>
      </c>
      <c r="D24" s="204"/>
      <c r="E24" s="2"/>
      <c r="F24" s="109" t="s">
        <v>9</v>
      </c>
      <c r="G24" s="110">
        <f>C23</f>
        <v>0</v>
      </c>
      <c r="H24" s="109" t="s">
        <v>118</v>
      </c>
      <c r="I24" s="109"/>
      <c r="J24" s="110"/>
      <c r="K24" s="109"/>
      <c r="L24" s="110">
        <f>C27</f>
        <v>0</v>
      </c>
    </row>
    <row r="25" spans="1:13" ht="15.75" thickBot="1" x14ac:dyDescent="0.3">
      <c r="A25" s="52"/>
      <c r="B25" s="88" t="s">
        <v>22</v>
      </c>
      <c r="C25" s="205">
        <f>SUM(Start:Ende!C25)</f>
        <v>0</v>
      </c>
      <c r="D25" s="206"/>
      <c r="E25" s="2"/>
      <c r="F25" s="109"/>
      <c r="G25" s="109"/>
      <c r="H25" s="109" t="s">
        <v>119</v>
      </c>
      <c r="I25" s="109"/>
      <c r="J25" s="110"/>
      <c r="K25" s="109"/>
      <c r="L25" s="110">
        <f>C31</f>
        <v>0</v>
      </c>
    </row>
    <row r="26" spans="1:13" ht="15.75" thickBot="1" x14ac:dyDescent="0.3">
      <c r="A26" s="55" t="s">
        <v>30</v>
      </c>
      <c r="B26" s="81"/>
      <c r="C26" s="207">
        <f>SUM(Start:Ende!C26)</f>
        <v>0</v>
      </c>
      <c r="D26" s="208"/>
      <c r="E26" s="2"/>
      <c r="F26" s="109"/>
      <c r="G26" s="109"/>
      <c r="H26" s="109" t="s">
        <v>120</v>
      </c>
      <c r="I26" s="109"/>
      <c r="J26" s="110"/>
      <c r="K26" s="109"/>
      <c r="L26" s="111">
        <f>C38</f>
        <v>0</v>
      </c>
    </row>
    <row r="27" spans="1:13" ht="15.75" thickBot="1" x14ac:dyDescent="0.3">
      <c r="A27" s="40"/>
      <c r="B27" s="47" t="s">
        <v>71</v>
      </c>
      <c r="C27" s="218">
        <f>SUM(C28:D30)</f>
        <v>0</v>
      </c>
      <c r="D27" s="219"/>
      <c r="E27" s="2"/>
      <c r="F27" s="109"/>
      <c r="G27" s="109"/>
      <c r="H27" s="109"/>
      <c r="I27" s="109"/>
      <c r="J27" s="110"/>
      <c r="K27" s="109"/>
      <c r="L27" s="112">
        <f>IF(SUM(L24:L26)=G24,G24,"Fehler")</f>
        <v>0</v>
      </c>
      <c r="M27" s="113" t="s">
        <v>121</v>
      </c>
    </row>
    <row r="28" spans="1:13" ht="15" customHeight="1" x14ac:dyDescent="0.25">
      <c r="A28" s="46"/>
      <c r="B28" s="45" t="s">
        <v>72</v>
      </c>
      <c r="C28" s="197">
        <f>SUM(Start:Ende!C28)</f>
        <v>0</v>
      </c>
      <c r="D28" s="198"/>
      <c r="E28" s="2"/>
      <c r="F28" s="114"/>
      <c r="G28" s="108"/>
      <c r="H28" s="108"/>
      <c r="I28" s="108"/>
      <c r="J28" s="115"/>
      <c r="K28" s="108"/>
      <c r="L28" s="108"/>
    </row>
    <row r="29" spans="1:13" x14ac:dyDescent="0.25">
      <c r="A29" s="46"/>
      <c r="B29" s="39" t="s">
        <v>73</v>
      </c>
      <c r="C29" s="193">
        <f>SUM(Start:Ende!D29)</f>
        <v>0</v>
      </c>
      <c r="D29" s="194"/>
      <c r="E29" s="2"/>
      <c r="F29" s="108" t="s">
        <v>298</v>
      </c>
      <c r="G29" s="115">
        <f>C31</f>
        <v>0</v>
      </c>
      <c r="H29" s="108" t="s">
        <v>119</v>
      </c>
      <c r="I29" s="108"/>
      <c r="J29" s="115"/>
      <c r="K29" s="108"/>
      <c r="L29" s="115">
        <f>G29</f>
        <v>0</v>
      </c>
    </row>
    <row r="30" spans="1:13" ht="15.75" thickBot="1" x14ac:dyDescent="0.3">
      <c r="A30" s="46" t="s">
        <v>74</v>
      </c>
      <c r="B30" s="89" t="s">
        <v>75</v>
      </c>
      <c r="C30" s="195">
        <f>SUM(Start:Ende!C30)</f>
        <v>0</v>
      </c>
      <c r="D30" s="196"/>
      <c r="E30" s="2"/>
    </row>
    <row r="31" spans="1:13" ht="15.75" thickBot="1" x14ac:dyDescent="0.3">
      <c r="A31" s="46"/>
      <c r="B31" s="83" t="s">
        <v>81</v>
      </c>
      <c r="C31" s="199">
        <f>SUM(C32:D36)</f>
        <v>0</v>
      </c>
      <c r="D31" s="200"/>
      <c r="E31" s="2"/>
      <c r="F31" s="43" t="s">
        <v>17</v>
      </c>
      <c r="G31" s="43" t="s">
        <v>18</v>
      </c>
      <c r="H31" s="43" t="s">
        <v>19</v>
      </c>
      <c r="I31" s="43" t="s">
        <v>20</v>
      </c>
    </row>
    <row r="32" spans="1:13" x14ac:dyDescent="0.25">
      <c r="A32" s="46"/>
      <c r="B32" s="45" t="s">
        <v>76</v>
      </c>
      <c r="C32" s="197">
        <f>SUM(Start:Ende!C32)</f>
        <v>0</v>
      </c>
      <c r="D32" s="198"/>
      <c r="E32" s="2"/>
      <c r="F32" s="103">
        <f>SUM(Start:Ende!G32)</f>
        <v>0</v>
      </c>
      <c r="G32" s="103">
        <f>SUM(Start:Ende!H32)</f>
        <v>0</v>
      </c>
      <c r="H32" s="103">
        <f>SUM(Start:Ende!I32)</f>
        <v>0</v>
      </c>
      <c r="I32" s="103">
        <f>SUM(Start:Ende!J32)</f>
        <v>0</v>
      </c>
    </row>
    <row r="33" spans="1:9" x14ac:dyDescent="0.25">
      <c r="A33" s="46"/>
      <c r="B33" s="39" t="s">
        <v>77</v>
      </c>
      <c r="C33" s="193">
        <f>SUM(Start:Ende!C33)</f>
        <v>0</v>
      </c>
      <c r="D33" s="194"/>
      <c r="E33" s="2"/>
      <c r="F33" s="103">
        <f>SUM(Start:Ende!G33)</f>
        <v>0</v>
      </c>
      <c r="G33" s="103">
        <f>SUM(Start:Ende!H33)</f>
        <v>0</v>
      </c>
      <c r="H33" s="103">
        <f>SUM(Start:Ende!I33)</f>
        <v>0</v>
      </c>
      <c r="I33" s="103">
        <f>SUM(Start:Ende!J33)</f>
        <v>0</v>
      </c>
    </row>
    <row r="34" spans="1:9" x14ac:dyDescent="0.25">
      <c r="A34" s="46"/>
      <c r="B34" s="39" t="s">
        <v>78</v>
      </c>
      <c r="C34" s="193">
        <f>SUM(Start:Ende!C34)</f>
        <v>0</v>
      </c>
      <c r="D34" s="194"/>
      <c r="E34" s="2"/>
      <c r="F34" s="103">
        <f>SUM(Start:Ende!G34)</f>
        <v>0</v>
      </c>
      <c r="G34" s="103">
        <f>SUM(Start:Ende!H34)</f>
        <v>0</v>
      </c>
      <c r="H34" s="103">
        <f>SUM(Start:Ende!I34)</f>
        <v>0</v>
      </c>
      <c r="I34" s="103">
        <f>SUM(Start:Ende!J34)</f>
        <v>0</v>
      </c>
    </row>
    <row r="35" spans="1:9" x14ac:dyDescent="0.25">
      <c r="A35" s="46"/>
      <c r="B35" s="39" t="s">
        <v>79</v>
      </c>
      <c r="C35" s="193">
        <f>SUM(Start:Ende!C35)</f>
        <v>0</v>
      </c>
      <c r="D35" s="194"/>
      <c r="E35" s="2"/>
      <c r="F35" s="103">
        <f>SUM(Start:Ende!G35)</f>
        <v>0</v>
      </c>
      <c r="G35" s="103">
        <f>SUM(Start:Ende!H35)</f>
        <v>0</v>
      </c>
      <c r="H35" s="103">
        <f>SUM(Start:Ende!I35)</f>
        <v>0</v>
      </c>
      <c r="I35" s="103">
        <f>SUM(Start:Ende!J35)</f>
        <v>0</v>
      </c>
    </row>
    <row r="36" spans="1:9" ht="15.75" thickBot="1" x14ac:dyDescent="0.3">
      <c r="A36" s="56"/>
      <c r="B36" s="88" t="s">
        <v>80</v>
      </c>
      <c r="C36" s="193">
        <f>SUM(Start:Ende!C36)</f>
        <v>0</v>
      </c>
      <c r="D36" s="194"/>
      <c r="E36" s="2"/>
      <c r="F36" s="103">
        <f>SUM(Start:Ende!G36)</f>
        <v>0</v>
      </c>
      <c r="G36" s="103">
        <f>SUM(Start:Ende!H36)</f>
        <v>0</v>
      </c>
      <c r="H36" s="103">
        <f>SUM(Start:Ende!I36)</f>
        <v>0</v>
      </c>
      <c r="I36" s="103">
        <f>SUM(Start:Ende!J36)</f>
        <v>0</v>
      </c>
    </row>
    <row r="37" spans="1:9" ht="15.75" thickBot="1" x14ac:dyDescent="0.3">
      <c r="A37" s="57" t="s">
        <v>13</v>
      </c>
      <c r="B37" s="42"/>
      <c r="C37" s="191">
        <f>SUM(Start:Ende!C37)</f>
        <v>0</v>
      </c>
      <c r="D37" s="192"/>
      <c r="E37" s="2"/>
      <c r="F37" s="104">
        <f>SUM(F32:F36)</f>
        <v>0</v>
      </c>
      <c r="G37" s="104">
        <f>SUM(G32:G36)</f>
        <v>0</v>
      </c>
      <c r="H37" s="104">
        <f>SUM(H32:H36)</f>
        <v>0</v>
      </c>
      <c r="I37" s="104">
        <f>SUM(I32:I36)</f>
        <v>0</v>
      </c>
    </row>
    <row r="38" spans="1:9" ht="15.75" customHeight="1" thickBot="1" x14ac:dyDescent="0.3">
      <c r="A38" s="41" t="s">
        <v>14</v>
      </c>
      <c r="B38" s="42"/>
      <c r="C38" s="191">
        <f>SUM(Start:Ende!C38)</f>
        <v>0</v>
      </c>
      <c r="D38" s="192"/>
      <c r="E38" s="2"/>
    </row>
    <row r="39" spans="1:9" x14ac:dyDescent="0.25">
      <c r="E39" s="2"/>
      <c r="F39" s="33"/>
      <c r="G39" s="33"/>
      <c r="H39" s="33"/>
      <c r="I39" s="33"/>
    </row>
    <row r="40" spans="1:9" x14ac:dyDescent="0.25">
      <c r="E40" s="2"/>
      <c r="F40" s="1"/>
    </row>
    <row r="42" spans="1:9" ht="15" customHeight="1" x14ac:dyDescent="0.25"/>
    <row r="43" spans="1:9" ht="15" customHeight="1" x14ac:dyDescent="0.25"/>
    <row r="55" spans="1:6" x14ac:dyDescent="0.25">
      <c r="E55" s="2"/>
    </row>
    <row r="56" spans="1:6" x14ac:dyDescent="0.25">
      <c r="E56" s="2"/>
      <c r="F56" s="2"/>
    </row>
    <row r="57" spans="1:6" x14ac:dyDescent="0.25">
      <c r="E57" s="2"/>
    </row>
    <row r="58" spans="1:6" x14ac:dyDescent="0.25">
      <c r="E58" s="2"/>
    </row>
    <row r="59" spans="1:6" x14ac:dyDescent="0.25">
      <c r="E59" s="2"/>
    </row>
    <row r="60" spans="1:6" x14ac:dyDescent="0.25">
      <c r="A60" s="2"/>
      <c r="B60" s="2"/>
      <c r="C60" s="2"/>
      <c r="D60" s="2"/>
      <c r="E60" s="2"/>
    </row>
    <row r="61" spans="1:6" x14ac:dyDescent="0.25">
      <c r="A61" s="2"/>
      <c r="B61" s="2"/>
      <c r="C61" s="2"/>
      <c r="D61" s="2"/>
      <c r="E61" s="2"/>
    </row>
    <row r="62" spans="1:6" x14ac:dyDescent="0.25">
      <c r="A62" s="2"/>
      <c r="B62" s="2"/>
      <c r="C62" s="2"/>
      <c r="D62" s="2"/>
      <c r="E62" s="2"/>
    </row>
  </sheetData>
  <sheetProtection sheet="1" objects="1" scenarios="1" selectLockedCells="1"/>
  <mergeCells count="24">
    <mergeCell ref="A1:B1"/>
    <mergeCell ref="F1:H1"/>
    <mergeCell ref="F3:H3"/>
    <mergeCell ref="C35:D35"/>
    <mergeCell ref="C36:D36"/>
    <mergeCell ref="C23:D23"/>
    <mergeCell ref="C24:D24"/>
    <mergeCell ref="C25:D25"/>
    <mergeCell ref="C26:D26"/>
    <mergeCell ref="C28:D28"/>
    <mergeCell ref="B3:D3"/>
    <mergeCell ref="B4:D4"/>
    <mergeCell ref="B5:D5"/>
    <mergeCell ref="C27:D27"/>
    <mergeCell ref="B7:D11"/>
    <mergeCell ref="C13:D19"/>
    <mergeCell ref="C37:D37"/>
    <mergeCell ref="C38:D38"/>
    <mergeCell ref="C29:D29"/>
    <mergeCell ref="C30:D30"/>
    <mergeCell ref="C32:D32"/>
    <mergeCell ref="C33:D33"/>
    <mergeCell ref="C34:D34"/>
    <mergeCell ref="C31:D31"/>
  </mergeCells>
  <dataValidations count="2">
    <dataValidation type="list" allowBlank="1" showInputMessage="1" showErrorMessage="1" sqref="C1" xr:uid="{00000000-0002-0000-0100-000000000000}">
      <formula1>"01,02,03,04,05,06,07,08,09,10,11,12"</formula1>
    </dataValidation>
    <dataValidation type="list" allowBlank="1" showInputMessage="1" showErrorMessage="1" sqref="D1" xr:uid="{00000000-0002-0000-0100-000001000000}">
      <formula1>"2018,2019,2020,2021,2022,2023,2024,2025"</formula1>
    </dataValidation>
  </dataValidations>
  <pageMargins left="0.70866141732283472" right="0.70866141732283472" top="0.78740157480314965" bottom="0.78740157480314965" header="0.31496062992125984" footer="0.31496062992125984"/>
  <pageSetup paperSize="9" scale="68" orientation="portrait" r:id="rId1"/>
  <ignoredErrors>
    <ignoredError sqref="C3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J1:M33"/>
  <sheetViews>
    <sheetView zoomScale="120" zoomScaleNormal="120" workbookViewId="0">
      <selection activeCell="K18" sqref="K18"/>
    </sheetView>
  </sheetViews>
  <sheetFormatPr baseColWidth="10" defaultColWidth="10.7109375" defaultRowHeight="15" x14ac:dyDescent="0.25"/>
  <cols>
    <col min="1" max="9" width="10.7109375" style="30"/>
    <col min="10" max="10" width="10.7109375" style="160"/>
    <col min="11" max="11" width="11.5703125" style="160" bestFit="1" customWidth="1"/>
    <col min="12" max="12" width="10.7109375" style="30"/>
    <col min="13" max="13" width="35.42578125" style="30" bestFit="1" customWidth="1"/>
    <col min="14" max="16384" width="10.7109375" style="30"/>
  </cols>
  <sheetData>
    <row r="1" spans="10:13" ht="35.65" customHeight="1" x14ac:dyDescent="0.25"/>
    <row r="15" spans="10:13" ht="15" customHeight="1" x14ac:dyDescent="0.25">
      <c r="J15" s="234" t="s">
        <v>116</v>
      </c>
      <c r="K15" s="234"/>
      <c r="L15" s="234"/>
      <c r="M15" s="234"/>
    </row>
    <row r="16" spans="10:13" x14ac:dyDescent="0.25">
      <c r="J16" s="234"/>
      <c r="K16" s="234"/>
      <c r="L16" s="234"/>
      <c r="M16" s="234"/>
    </row>
    <row r="17" spans="10:13" ht="22.5" customHeight="1" x14ac:dyDescent="0.25"/>
    <row r="18" spans="10:13" ht="18" customHeight="1" x14ac:dyDescent="0.25">
      <c r="J18" s="160" t="s">
        <v>63</v>
      </c>
      <c r="K18" s="161">
        <f>GH_Gesamt!C28</f>
        <v>0</v>
      </c>
    </row>
    <row r="22" spans="10:13" ht="28.5" customHeight="1" x14ac:dyDescent="0.25"/>
    <row r="23" spans="10:13" ht="19.5" customHeight="1" x14ac:dyDescent="0.25">
      <c r="J23" s="160" t="s">
        <v>64</v>
      </c>
      <c r="K23" s="161">
        <f>K18</f>
        <v>0</v>
      </c>
    </row>
    <row r="24" spans="10:13" ht="18.75" customHeight="1" x14ac:dyDescent="0.25">
      <c r="J24" s="160" t="s">
        <v>65</v>
      </c>
      <c r="K24" s="161">
        <f>GH_Gesamt!C30</f>
        <v>0</v>
      </c>
    </row>
    <row r="25" spans="10:13" ht="16.5" customHeight="1" x14ac:dyDescent="0.25">
      <c r="K25" s="162"/>
    </row>
    <row r="26" spans="10:13" ht="20.25" customHeight="1" x14ac:dyDescent="0.25">
      <c r="J26" s="160" t="s">
        <v>66</v>
      </c>
      <c r="K26" s="161">
        <f>GH_Gesamt!C29</f>
        <v>0</v>
      </c>
      <c r="M26" s="159" t="s">
        <v>299</v>
      </c>
    </row>
    <row r="27" spans="10:13" x14ac:dyDescent="0.25">
      <c r="K27" s="162"/>
    </row>
    <row r="32" spans="10:13" ht="35.25" customHeight="1" x14ac:dyDescent="0.25"/>
    <row r="33" spans="10:11" ht="18.75" customHeight="1" x14ac:dyDescent="0.25">
      <c r="J33" s="160" t="s">
        <v>67</v>
      </c>
      <c r="K33" s="163">
        <f>SUM(K23:K26)</f>
        <v>0</v>
      </c>
    </row>
  </sheetData>
  <sheetProtection sheet="1" objects="1" scenarios="1" selectLockedCells="1"/>
  <mergeCells count="1">
    <mergeCell ref="J15:M16"/>
  </mergeCell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pageSetUpPr fitToPage="1"/>
  </sheetPr>
  <dimension ref="A1:H26"/>
  <sheetViews>
    <sheetView zoomScale="120" zoomScaleNormal="120" workbookViewId="0">
      <pane ySplit="7" topLeftCell="A8" activePane="bottomLeft" state="frozen"/>
      <selection activeCell="A48" sqref="A48"/>
      <selection pane="bottomLeft" activeCell="C1" sqref="C1"/>
    </sheetView>
  </sheetViews>
  <sheetFormatPr baseColWidth="10" defaultColWidth="10.7109375" defaultRowHeight="15" x14ac:dyDescent="0.25"/>
  <cols>
    <col min="1" max="1" width="24.85546875" style="30" customWidth="1"/>
    <col min="2" max="2" width="16.140625" style="30" customWidth="1"/>
    <col min="3" max="3" width="14.7109375" style="59" customWidth="1"/>
    <col min="4" max="4" width="12" style="67" bestFit="1" customWidth="1"/>
    <col min="5" max="5" width="10.7109375" style="30"/>
    <col min="6" max="8" width="12.7109375" style="30" customWidth="1"/>
    <col min="9" max="16384" width="10.7109375" style="30"/>
  </cols>
  <sheetData>
    <row r="1" spans="1:8" ht="24" thickBot="1" x14ac:dyDescent="0.4">
      <c r="A1" s="74" t="str">
        <f ca="1">"Beitragsnachweis "&amp;RIGHT(MID(CELL("dateiname",A1),FIND("]",CELL("dateiname",A1))+1,255),3)</f>
        <v>Beitragsnachweis AOK</v>
      </c>
      <c r="C1" s="84">
        <f>GH_Gesamt!C1</f>
        <v>1</v>
      </c>
      <c r="D1" s="84">
        <f>GH_Gesamt!D1</f>
        <v>2020</v>
      </c>
    </row>
    <row r="2" spans="1:8" ht="15.75" thickBot="1" x14ac:dyDescent="0.3">
      <c r="A2" s="66"/>
    </row>
    <row r="3" spans="1:8" x14ac:dyDescent="0.25">
      <c r="A3" s="19" t="s">
        <v>28</v>
      </c>
      <c r="B3" s="235" t="str">
        <f>GH_Gesamt!B3</f>
        <v>Muster-Üfa</v>
      </c>
      <c r="C3" s="236"/>
      <c r="D3" s="237"/>
    </row>
    <row r="4" spans="1:8" x14ac:dyDescent="0.25">
      <c r="A4" s="20"/>
      <c r="B4" s="238" t="str">
        <f>GH_Gesamt!B4</f>
        <v>Musterstraße 1</v>
      </c>
      <c r="C4" s="239"/>
      <c r="D4" s="240"/>
    </row>
    <row r="5" spans="1:8" ht="15.75" thickBot="1" x14ac:dyDescent="0.3">
      <c r="A5" s="21"/>
      <c r="B5" s="241" t="str">
        <f>GH_Gesamt!B5</f>
        <v>10101 Musterstadt</v>
      </c>
      <c r="C5" s="242"/>
      <c r="D5" s="243"/>
    </row>
    <row r="7" spans="1:8" ht="30" customHeight="1" x14ac:dyDescent="0.25">
      <c r="A7" s="245" t="s">
        <v>32</v>
      </c>
      <c r="B7" s="245"/>
      <c r="C7" s="75" t="s">
        <v>33</v>
      </c>
      <c r="D7" s="76" t="s">
        <v>34</v>
      </c>
      <c r="F7" s="234" t="s">
        <v>300</v>
      </c>
      <c r="G7" s="234"/>
      <c r="H7" s="234"/>
    </row>
    <row r="8" spans="1:8" ht="29.25" customHeight="1" x14ac:dyDescent="0.25">
      <c r="A8" s="244" t="s">
        <v>35</v>
      </c>
      <c r="B8" s="244"/>
      <c r="C8" s="77">
        <v>1000</v>
      </c>
      <c r="D8" s="69">
        <f ca="1">HLOOKUP(RIGHT($A$1,3),GH_Gesamt!$F$31:$I$36,2,FALSE)*2</f>
        <v>0</v>
      </c>
    </row>
    <row r="9" spans="1:8" ht="29.25" customHeight="1" x14ac:dyDescent="0.25">
      <c r="A9" s="244" t="s">
        <v>36</v>
      </c>
      <c r="B9" s="244"/>
      <c r="C9" s="77">
        <v>3000</v>
      </c>
      <c r="D9" s="69"/>
    </row>
    <row r="10" spans="1:8" ht="30" customHeight="1" x14ac:dyDescent="0.25">
      <c r="A10" s="244" t="s">
        <v>37</v>
      </c>
      <c r="B10" s="244"/>
      <c r="C10" s="77"/>
      <c r="D10" s="69"/>
    </row>
    <row r="11" spans="1:8" ht="30.75" customHeight="1" x14ac:dyDescent="0.25">
      <c r="A11" s="244" t="s">
        <v>38</v>
      </c>
      <c r="B11" s="244"/>
      <c r="C11" s="78" t="s">
        <v>39</v>
      </c>
      <c r="D11" s="69">
        <f ca="1">HLOOKUP(RIGHT($A$1,3),GH_Gesamt!$F$31:$I$36,3,FALSE)*2</f>
        <v>0</v>
      </c>
    </row>
    <row r="12" spans="1:8" ht="30" customHeight="1" x14ac:dyDescent="0.25">
      <c r="A12" s="244" t="s">
        <v>40</v>
      </c>
      <c r="B12" s="244"/>
      <c r="C12" s="78" t="s">
        <v>41</v>
      </c>
      <c r="D12" s="69"/>
    </row>
    <row r="13" spans="1:8" ht="29.25" customHeight="1" x14ac:dyDescent="0.25">
      <c r="A13" s="244" t="s">
        <v>42</v>
      </c>
      <c r="B13" s="244"/>
      <c r="C13" s="78" t="s">
        <v>43</v>
      </c>
      <c r="D13" s="69">
        <f ca="1">HLOOKUP(RIGHT($A$1,3),GH_Gesamt!$F$31:$I$36,4,FALSE)*2</f>
        <v>0</v>
      </c>
    </row>
    <row r="14" spans="1:8" ht="30" customHeight="1" x14ac:dyDescent="0.25">
      <c r="A14" s="244" t="s">
        <v>44</v>
      </c>
      <c r="B14" s="244"/>
      <c r="C14" s="78" t="s">
        <v>45</v>
      </c>
      <c r="D14" s="69"/>
    </row>
    <row r="15" spans="1:8" ht="30" customHeight="1" x14ac:dyDescent="0.25">
      <c r="A15" s="244" t="s">
        <v>46</v>
      </c>
      <c r="B15" s="244"/>
      <c r="C15" s="78" t="s">
        <v>47</v>
      </c>
      <c r="D15" s="69">
        <f ca="1">HLOOKUP(RIGHT($A$1,3),GH_Gesamt!$F$31:$I$36,5,FALSE)*2</f>
        <v>0</v>
      </c>
    </row>
    <row r="16" spans="1:8" ht="30" customHeight="1" x14ac:dyDescent="0.25">
      <c r="A16" s="244" t="s">
        <v>48</v>
      </c>
      <c r="B16" s="244"/>
      <c r="C16" s="68" t="s">
        <v>49</v>
      </c>
      <c r="D16" s="69"/>
    </row>
    <row r="17" spans="1:4" ht="30" customHeight="1" x14ac:dyDescent="0.25">
      <c r="A17" s="244" t="s">
        <v>50</v>
      </c>
      <c r="B17" s="244"/>
      <c r="C17" s="68" t="s">
        <v>51</v>
      </c>
      <c r="D17" s="69"/>
    </row>
    <row r="18" spans="1:4" ht="30" customHeight="1" x14ac:dyDescent="0.25">
      <c r="A18" s="244" t="s">
        <v>52</v>
      </c>
      <c r="B18" s="244"/>
      <c r="C18" s="68" t="s">
        <v>53</v>
      </c>
      <c r="D18" s="69"/>
    </row>
    <row r="19" spans="1:4" ht="30" customHeight="1" x14ac:dyDescent="0.25">
      <c r="A19" s="246" t="s">
        <v>54</v>
      </c>
      <c r="B19" s="246"/>
      <c r="C19" s="246"/>
      <c r="D19" s="69">
        <f ca="1">SUM(D8:D15)</f>
        <v>0</v>
      </c>
    </row>
    <row r="20" spans="1:4" ht="26.25" x14ac:dyDescent="0.25">
      <c r="A20" s="247" t="s">
        <v>55</v>
      </c>
      <c r="B20" s="247" t="s">
        <v>56</v>
      </c>
      <c r="C20" s="70" t="s">
        <v>57</v>
      </c>
      <c r="D20" s="69"/>
    </row>
    <row r="21" spans="1:4" x14ac:dyDescent="0.25">
      <c r="A21" s="247"/>
      <c r="B21" s="247"/>
      <c r="C21" s="71" t="s">
        <v>58</v>
      </c>
      <c r="D21" s="69"/>
    </row>
    <row r="22" spans="1:4" x14ac:dyDescent="0.25">
      <c r="A22" s="247"/>
      <c r="B22" s="247"/>
      <c r="C22" s="71" t="s">
        <v>59</v>
      </c>
      <c r="D22" s="69"/>
    </row>
    <row r="23" spans="1:4" ht="26.25" x14ac:dyDescent="0.25">
      <c r="A23" s="247"/>
      <c r="B23" s="72" t="s">
        <v>60</v>
      </c>
      <c r="C23" s="71"/>
      <c r="D23" s="69"/>
    </row>
    <row r="24" spans="1:4" x14ac:dyDescent="0.25">
      <c r="A24" s="247"/>
      <c r="B24" s="248" t="s">
        <v>61</v>
      </c>
      <c r="C24" s="248"/>
      <c r="D24" s="69">
        <f ca="1">D19</f>
        <v>0</v>
      </c>
    </row>
    <row r="26" spans="1:4" x14ac:dyDescent="0.25">
      <c r="C26" s="73"/>
    </row>
  </sheetData>
  <sheetProtection sheet="1" objects="1" scenarios="1" selectLockedCells="1"/>
  <mergeCells count="20">
    <mergeCell ref="F7:H7"/>
    <mergeCell ref="A19:C19"/>
    <mergeCell ref="A20:A24"/>
    <mergeCell ref="B20:B22"/>
    <mergeCell ref="B24:C24"/>
    <mergeCell ref="A15:B15"/>
    <mergeCell ref="A16:B16"/>
    <mergeCell ref="A17:B17"/>
    <mergeCell ref="A18:B18"/>
    <mergeCell ref="B3:D3"/>
    <mergeCell ref="B4:D4"/>
    <mergeCell ref="B5:D5"/>
    <mergeCell ref="A13:B13"/>
    <mergeCell ref="A14:B14"/>
    <mergeCell ref="A7:B7"/>
    <mergeCell ref="A8:B8"/>
    <mergeCell ref="A9:B9"/>
    <mergeCell ref="A10:B10"/>
    <mergeCell ref="A11:B11"/>
    <mergeCell ref="A12:B12"/>
  </mergeCells>
  <pageMargins left="0.70866141732283472" right="0.70866141732283472" top="0.78740157480314965" bottom="0.78740157480314965" header="0.31496062992125984" footer="0.31496062992125984"/>
  <pageSetup paperSize="9" orientation="portrait" r:id="rId1"/>
  <ignoredErrors>
    <ignoredError sqref="C11:C1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pageSetUpPr fitToPage="1"/>
  </sheetPr>
  <dimension ref="A1:H26"/>
  <sheetViews>
    <sheetView zoomScale="120" zoomScaleNormal="120" workbookViewId="0">
      <pane ySplit="7" topLeftCell="A8" activePane="bottomLeft" state="frozen"/>
      <selection activeCell="A8" sqref="A8:B8"/>
      <selection pane="bottomLeft" activeCell="C1" sqref="C1"/>
    </sheetView>
  </sheetViews>
  <sheetFormatPr baseColWidth="10" defaultColWidth="10.7109375" defaultRowHeight="15" x14ac:dyDescent="0.25"/>
  <cols>
    <col min="1" max="1" width="24.85546875" style="30" customWidth="1"/>
    <col min="2" max="2" width="16.140625" style="30" customWidth="1"/>
    <col min="3" max="3" width="14.7109375" style="59" customWidth="1"/>
    <col min="4" max="4" width="12" style="67" bestFit="1" customWidth="1"/>
    <col min="5" max="5" width="10.7109375" style="30"/>
    <col min="6" max="8" width="12.7109375" style="30" customWidth="1"/>
    <col min="9" max="16384" width="10.7109375" style="30"/>
  </cols>
  <sheetData>
    <row r="1" spans="1:8" ht="24" thickBot="1" x14ac:dyDescent="0.4">
      <c r="A1" s="74" t="str">
        <f ca="1">"Beitragsnachweis "&amp;RIGHT(MID(CELL("dateiname",A1),FIND("]",CELL("dateiname",A1))+1,255),3)</f>
        <v>Beitragsnachweis BEK</v>
      </c>
      <c r="C1" s="84">
        <f>GH_Gesamt!C1</f>
        <v>1</v>
      </c>
      <c r="D1" s="84">
        <f>GH_Gesamt!D1</f>
        <v>2020</v>
      </c>
    </row>
    <row r="2" spans="1:8" ht="15.75" thickBot="1" x14ac:dyDescent="0.3">
      <c r="A2" s="66"/>
    </row>
    <row r="3" spans="1:8" x14ac:dyDescent="0.25">
      <c r="A3" s="19" t="s">
        <v>28</v>
      </c>
      <c r="B3" s="235" t="str">
        <f>GH_Gesamt!B3</f>
        <v>Muster-Üfa</v>
      </c>
      <c r="C3" s="236"/>
      <c r="D3" s="237"/>
    </row>
    <row r="4" spans="1:8" x14ac:dyDescent="0.25">
      <c r="A4" s="20"/>
      <c r="B4" s="238" t="str">
        <f>GH_Gesamt!B4</f>
        <v>Musterstraße 1</v>
      </c>
      <c r="C4" s="239"/>
      <c r="D4" s="240"/>
    </row>
    <row r="5" spans="1:8" ht="15.75" thickBot="1" x14ac:dyDescent="0.3">
      <c r="A5" s="21"/>
      <c r="B5" s="241" t="str">
        <f>GH_Gesamt!B5</f>
        <v>10101 Musterstadt</v>
      </c>
      <c r="C5" s="242"/>
      <c r="D5" s="243"/>
    </row>
    <row r="7" spans="1:8" ht="30" x14ac:dyDescent="0.25">
      <c r="A7" s="245" t="s">
        <v>32</v>
      </c>
      <c r="B7" s="245"/>
      <c r="C7" s="75" t="s">
        <v>33</v>
      </c>
      <c r="D7" s="76" t="s">
        <v>34</v>
      </c>
      <c r="F7" s="234" t="s">
        <v>300</v>
      </c>
      <c r="G7" s="234"/>
      <c r="H7" s="234"/>
    </row>
    <row r="8" spans="1:8" ht="29.25" customHeight="1" x14ac:dyDescent="0.25">
      <c r="A8" s="244" t="s">
        <v>35</v>
      </c>
      <c r="B8" s="244"/>
      <c r="C8" s="77">
        <v>1000</v>
      </c>
      <c r="D8" s="69">
        <f ca="1">HLOOKUP(RIGHT($A$1,3),GH_Gesamt!$F$31:$I$36,2,FALSE)*2</f>
        <v>0</v>
      </c>
    </row>
    <row r="9" spans="1:8" ht="29.25" customHeight="1" x14ac:dyDescent="0.25">
      <c r="A9" s="244" t="s">
        <v>36</v>
      </c>
      <c r="B9" s="244"/>
      <c r="C9" s="77">
        <v>3000</v>
      </c>
      <c r="D9" s="69"/>
    </row>
    <row r="10" spans="1:8" ht="30" customHeight="1" x14ac:dyDescent="0.25">
      <c r="A10" s="244" t="s">
        <v>37</v>
      </c>
      <c r="B10" s="244"/>
      <c r="C10" s="77"/>
      <c r="D10" s="69"/>
    </row>
    <row r="11" spans="1:8" ht="30.75" customHeight="1" x14ac:dyDescent="0.25">
      <c r="A11" s="244" t="s">
        <v>38</v>
      </c>
      <c r="B11" s="244"/>
      <c r="C11" s="78" t="s">
        <v>39</v>
      </c>
      <c r="D11" s="69">
        <f ca="1">HLOOKUP(RIGHT($A$1,3),GH_Gesamt!$F$31:$I$36,3,FALSE)*2</f>
        <v>0</v>
      </c>
    </row>
    <row r="12" spans="1:8" ht="30" customHeight="1" x14ac:dyDescent="0.25">
      <c r="A12" s="244" t="s">
        <v>40</v>
      </c>
      <c r="B12" s="244"/>
      <c r="C12" s="78" t="s">
        <v>41</v>
      </c>
      <c r="D12" s="69"/>
    </row>
    <row r="13" spans="1:8" ht="29.25" customHeight="1" x14ac:dyDescent="0.25">
      <c r="A13" s="244" t="s">
        <v>42</v>
      </c>
      <c r="B13" s="244"/>
      <c r="C13" s="78" t="s">
        <v>43</v>
      </c>
      <c r="D13" s="69">
        <f ca="1">HLOOKUP(RIGHT($A$1,3),GH_Gesamt!$F$31:$I$36,4,FALSE)*2</f>
        <v>0</v>
      </c>
    </row>
    <row r="14" spans="1:8" ht="30" customHeight="1" x14ac:dyDescent="0.25">
      <c r="A14" s="244" t="s">
        <v>44</v>
      </c>
      <c r="B14" s="244"/>
      <c r="C14" s="78" t="s">
        <v>45</v>
      </c>
      <c r="D14" s="69"/>
    </row>
    <row r="15" spans="1:8" ht="30" customHeight="1" x14ac:dyDescent="0.25">
      <c r="A15" s="244" t="s">
        <v>46</v>
      </c>
      <c r="B15" s="244"/>
      <c r="C15" s="78" t="s">
        <v>47</v>
      </c>
      <c r="D15" s="69">
        <f ca="1">HLOOKUP(RIGHT($A$1,3),GH_Gesamt!$F$31:$I$36,5,FALSE)*2</f>
        <v>0</v>
      </c>
    </row>
    <row r="16" spans="1:8" ht="30" customHeight="1" x14ac:dyDescent="0.25">
      <c r="A16" s="244" t="s">
        <v>48</v>
      </c>
      <c r="B16" s="244"/>
      <c r="C16" s="68" t="s">
        <v>49</v>
      </c>
      <c r="D16" s="69"/>
    </row>
    <row r="17" spans="1:4" ht="30" customHeight="1" x14ac:dyDescent="0.25">
      <c r="A17" s="244" t="s">
        <v>50</v>
      </c>
      <c r="B17" s="244"/>
      <c r="C17" s="68" t="s">
        <v>51</v>
      </c>
      <c r="D17" s="69"/>
    </row>
    <row r="18" spans="1:4" ht="30" customHeight="1" x14ac:dyDescent="0.25">
      <c r="A18" s="244" t="s">
        <v>52</v>
      </c>
      <c r="B18" s="244"/>
      <c r="C18" s="68" t="s">
        <v>53</v>
      </c>
      <c r="D18" s="69"/>
    </row>
    <row r="19" spans="1:4" ht="30" customHeight="1" x14ac:dyDescent="0.25">
      <c r="A19" s="246" t="s">
        <v>54</v>
      </c>
      <c r="B19" s="246"/>
      <c r="C19" s="246"/>
      <c r="D19" s="69">
        <f ca="1">SUM(D8:D15)</f>
        <v>0</v>
      </c>
    </row>
    <row r="20" spans="1:4" ht="26.25" x14ac:dyDescent="0.25">
      <c r="A20" s="247" t="s">
        <v>55</v>
      </c>
      <c r="B20" s="247" t="s">
        <v>56</v>
      </c>
      <c r="C20" s="70" t="s">
        <v>57</v>
      </c>
      <c r="D20" s="69"/>
    </row>
    <row r="21" spans="1:4" x14ac:dyDescent="0.25">
      <c r="A21" s="247"/>
      <c r="B21" s="247"/>
      <c r="C21" s="71" t="s">
        <v>58</v>
      </c>
      <c r="D21" s="69"/>
    </row>
    <row r="22" spans="1:4" x14ac:dyDescent="0.25">
      <c r="A22" s="247"/>
      <c r="B22" s="247"/>
      <c r="C22" s="71" t="s">
        <v>59</v>
      </c>
      <c r="D22" s="69"/>
    </row>
    <row r="23" spans="1:4" ht="26.25" x14ac:dyDescent="0.25">
      <c r="A23" s="247"/>
      <c r="B23" s="72" t="s">
        <v>60</v>
      </c>
      <c r="C23" s="71"/>
      <c r="D23" s="69"/>
    </row>
    <row r="24" spans="1:4" x14ac:dyDescent="0.25">
      <c r="A24" s="247"/>
      <c r="B24" s="248" t="s">
        <v>61</v>
      </c>
      <c r="C24" s="248"/>
      <c r="D24" s="69">
        <f ca="1">D19</f>
        <v>0</v>
      </c>
    </row>
    <row r="26" spans="1:4" x14ac:dyDescent="0.25">
      <c r="C26" s="73"/>
    </row>
  </sheetData>
  <sheetProtection sheet="1" objects="1" scenarios="1" selectLockedCells="1"/>
  <mergeCells count="20">
    <mergeCell ref="F7:H7"/>
    <mergeCell ref="A15:B15"/>
    <mergeCell ref="B3:D3"/>
    <mergeCell ref="B4:D4"/>
    <mergeCell ref="B5:D5"/>
    <mergeCell ref="A7:B7"/>
    <mergeCell ref="A8:B8"/>
    <mergeCell ref="A9:B9"/>
    <mergeCell ref="A10:B10"/>
    <mergeCell ref="A11:B11"/>
    <mergeCell ref="A12:B12"/>
    <mergeCell ref="A13:B13"/>
    <mergeCell ref="A14:B14"/>
    <mergeCell ref="A16:B16"/>
    <mergeCell ref="A17:B17"/>
    <mergeCell ref="A18:B18"/>
    <mergeCell ref="A19:C19"/>
    <mergeCell ref="A20:A24"/>
    <mergeCell ref="B20:B22"/>
    <mergeCell ref="B24:C24"/>
  </mergeCells>
  <pageMargins left="0.70866141732283472" right="0.70866141732283472"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fitToPage="1"/>
  </sheetPr>
  <dimension ref="A1:H26"/>
  <sheetViews>
    <sheetView zoomScale="120" zoomScaleNormal="120" workbookViewId="0">
      <pane ySplit="7" topLeftCell="A8" activePane="bottomLeft" state="frozen"/>
      <selection activeCell="A8" sqref="A8:B8"/>
      <selection pane="bottomLeft" activeCell="C1" sqref="C1"/>
    </sheetView>
  </sheetViews>
  <sheetFormatPr baseColWidth="10" defaultColWidth="10.7109375" defaultRowHeight="15" x14ac:dyDescent="0.25"/>
  <cols>
    <col min="1" max="1" width="24.85546875" style="30" customWidth="1"/>
    <col min="2" max="2" width="16.140625" style="30" customWidth="1"/>
    <col min="3" max="3" width="14.7109375" style="59" customWidth="1"/>
    <col min="4" max="4" width="12" style="67" bestFit="1" customWidth="1"/>
    <col min="5" max="5" width="10.7109375" style="30"/>
    <col min="6" max="8" width="12.7109375" style="30" customWidth="1"/>
    <col min="9" max="16384" width="10.7109375" style="30"/>
  </cols>
  <sheetData>
    <row r="1" spans="1:8" ht="24" thickBot="1" x14ac:dyDescent="0.4">
      <c r="A1" s="74" t="str">
        <f ca="1">"Beitragsnachweis "&amp;RIGHT(MID(CELL("dateiname",A1),FIND("]",CELL("dateiname",A1))+1,255),3)</f>
        <v>Beitragsnachweis DAK</v>
      </c>
      <c r="C1" s="84">
        <f>GH_Gesamt!C1</f>
        <v>1</v>
      </c>
      <c r="D1" s="84">
        <f>GH_Gesamt!D1</f>
        <v>2020</v>
      </c>
    </row>
    <row r="2" spans="1:8" ht="15.75" thickBot="1" x14ac:dyDescent="0.3">
      <c r="A2" s="66"/>
    </row>
    <row r="3" spans="1:8" x14ac:dyDescent="0.25">
      <c r="A3" s="19" t="s">
        <v>28</v>
      </c>
      <c r="B3" s="235" t="str">
        <f>GH_Gesamt!B3</f>
        <v>Muster-Üfa</v>
      </c>
      <c r="C3" s="236"/>
      <c r="D3" s="237"/>
    </row>
    <row r="4" spans="1:8" x14ac:dyDescent="0.25">
      <c r="A4" s="20"/>
      <c r="B4" s="238" t="str">
        <f>GH_Gesamt!B4</f>
        <v>Musterstraße 1</v>
      </c>
      <c r="C4" s="239"/>
      <c r="D4" s="240"/>
    </row>
    <row r="5" spans="1:8" ht="15.75" thickBot="1" x14ac:dyDescent="0.3">
      <c r="A5" s="21"/>
      <c r="B5" s="241" t="str">
        <f>GH_Gesamt!B5</f>
        <v>10101 Musterstadt</v>
      </c>
      <c r="C5" s="242"/>
      <c r="D5" s="243"/>
    </row>
    <row r="7" spans="1:8" ht="30" x14ac:dyDescent="0.25">
      <c r="A7" s="245" t="s">
        <v>32</v>
      </c>
      <c r="B7" s="245"/>
      <c r="C7" s="75" t="s">
        <v>33</v>
      </c>
      <c r="D7" s="76" t="s">
        <v>34</v>
      </c>
      <c r="F7" s="234" t="s">
        <v>300</v>
      </c>
      <c r="G7" s="234"/>
      <c r="H7" s="234"/>
    </row>
    <row r="8" spans="1:8" ht="29.25" customHeight="1" x14ac:dyDescent="0.25">
      <c r="A8" s="244" t="s">
        <v>35</v>
      </c>
      <c r="B8" s="244"/>
      <c r="C8" s="77">
        <v>1000</v>
      </c>
      <c r="D8" s="69">
        <f ca="1">HLOOKUP(RIGHT($A$1,3),GH_Gesamt!$F$31:$I$36,2,FALSE)*2</f>
        <v>0</v>
      </c>
    </row>
    <row r="9" spans="1:8" ht="29.25" customHeight="1" x14ac:dyDescent="0.25">
      <c r="A9" s="244" t="s">
        <v>36</v>
      </c>
      <c r="B9" s="244"/>
      <c r="C9" s="77">
        <v>3000</v>
      </c>
      <c r="D9" s="69"/>
    </row>
    <row r="10" spans="1:8" ht="30" customHeight="1" x14ac:dyDescent="0.25">
      <c r="A10" s="244" t="s">
        <v>37</v>
      </c>
      <c r="B10" s="244"/>
      <c r="C10" s="77"/>
      <c r="D10" s="69"/>
    </row>
    <row r="11" spans="1:8" ht="30.75" customHeight="1" x14ac:dyDescent="0.25">
      <c r="A11" s="244" t="s">
        <v>38</v>
      </c>
      <c r="B11" s="244"/>
      <c r="C11" s="78" t="s">
        <v>39</v>
      </c>
      <c r="D11" s="69">
        <f ca="1">HLOOKUP(RIGHT($A$1,3),GH_Gesamt!$F$31:$I$36,3,FALSE)*2</f>
        <v>0</v>
      </c>
    </row>
    <row r="12" spans="1:8" ht="30" customHeight="1" x14ac:dyDescent="0.25">
      <c r="A12" s="244" t="s">
        <v>40</v>
      </c>
      <c r="B12" s="244"/>
      <c r="C12" s="78" t="s">
        <v>41</v>
      </c>
      <c r="D12" s="69"/>
    </row>
    <row r="13" spans="1:8" ht="29.25" customHeight="1" x14ac:dyDescent="0.25">
      <c r="A13" s="244" t="s">
        <v>42</v>
      </c>
      <c r="B13" s="244"/>
      <c r="C13" s="78" t="s">
        <v>43</v>
      </c>
      <c r="D13" s="69">
        <f ca="1">HLOOKUP(RIGHT($A$1,3),GH_Gesamt!$F$31:$I$36,4,FALSE)*2</f>
        <v>0</v>
      </c>
    </row>
    <row r="14" spans="1:8" ht="30" customHeight="1" x14ac:dyDescent="0.25">
      <c r="A14" s="244" t="s">
        <v>44</v>
      </c>
      <c r="B14" s="244"/>
      <c r="C14" s="78" t="s">
        <v>45</v>
      </c>
      <c r="D14" s="69"/>
    </row>
    <row r="15" spans="1:8" ht="30" customHeight="1" x14ac:dyDescent="0.25">
      <c r="A15" s="244" t="s">
        <v>46</v>
      </c>
      <c r="B15" s="244"/>
      <c r="C15" s="78" t="s">
        <v>47</v>
      </c>
      <c r="D15" s="69">
        <f ca="1">HLOOKUP(RIGHT($A$1,3),GH_Gesamt!$F$31:$I$36,5,FALSE)*2</f>
        <v>0</v>
      </c>
    </row>
    <row r="16" spans="1:8" ht="30" customHeight="1" x14ac:dyDescent="0.25">
      <c r="A16" s="244" t="s">
        <v>48</v>
      </c>
      <c r="B16" s="244"/>
      <c r="C16" s="68" t="s">
        <v>49</v>
      </c>
      <c r="D16" s="69"/>
    </row>
    <row r="17" spans="1:4" ht="30" customHeight="1" x14ac:dyDescent="0.25">
      <c r="A17" s="244" t="s">
        <v>50</v>
      </c>
      <c r="B17" s="244"/>
      <c r="C17" s="68" t="s">
        <v>51</v>
      </c>
      <c r="D17" s="69"/>
    </row>
    <row r="18" spans="1:4" ht="30" customHeight="1" x14ac:dyDescent="0.25">
      <c r="A18" s="244" t="s">
        <v>52</v>
      </c>
      <c r="B18" s="244"/>
      <c r="C18" s="68" t="s">
        <v>53</v>
      </c>
      <c r="D18" s="69"/>
    </row>
    <row r="19" spans="1:4" ht="30" customHeight="1" x14ac:dyDescent="0.25">
      <c r="A19" s="246" t="s">
        <v>54</v>
      </c>
      <c r="B19" s="246"/>
      <c r="C19" s="246"/>
      <c r="D19" s="69">
        <f ca="1">SUM(D8:D15)</f>
        <v>0</v>
      </c>
    </row>
    <row r="20" spans="1:4" ht="26.25" x14ac:dyDescent="0.25">
      <c r="A20" s="247" t="s">
        <v>55</v>
      </c>
      <c r="B20" s="247" t="s">
        <v>56</v>
      </c>
      <c r="C20" s="70" t="s">
        <v>57</v>
      </c>
      <c r="D20" s="69"/>
    </row>
    <row r="21" spans="1:4" x14ac:dyDescent="0.25">
      <c r="A21" s="247"/>
      <c r="B21" s="247"/>
      <c r="C21" s="71" t="s">
        <v>58</v>
      </c>
      <c r="D21" s="69"/>
    </row>
    <row r="22" spans="1:4" x14ac:dyDescent="0.25">
      <c r="A22" s="247"/>
      <c r="B22" s="247"/>
      <c r="C22" s="71" t="s">
        <v>59</v>
      </c>
      <c r="D22" s="69"/>
    </row>
    <row r="23" spans="1:4" ht="26.25" x14ac:dyDescent="0.25">
      <c r="A23" s="247"/>
      <c r="B23" s="72" t="s">
        <v>60</v>
      </c>
      <c r="C23" s="71"/>
      <c r="D23" s="69"/>
    </row>
    <row r="24" spans="1:4" x14ac:dyDescent="0.25">
      <c r="A24" s="247"/>
      <c r="B24" s="248" t="s">
        <v>61</v>
      </c>
      <c r="C24" s="248"/>
      <c r="D24" s="69">
        <f ca="1">D19</f>
        <v>0</v>
      </c>
    </row>
    <row r="26" spans="1:4" x14ac:dyDescent="0.25">
      <c r="C26" s="73"/>
    </row>
  </sheetData>
  <sheetProtection sheet="1" objects="1" scenarios="1" selectLockedCells="1"/>
  <mergeCells count="20">
    <mergeCell ref="F7:H7"/>
    <mergeCell ref="A15:B15"/>
    <mergeCell ref="B3:D3"/>
    <mergeCell ref="B4:D4"/>
    <mergeCell ref="B5:D5"/>
    <mergeCell ref="A7:B7"/>
    <mergeCell ref="A8:B8"/>
    <mergeCell ref="A9:B9"/>
    <mergeCell ref="A10:B10"/>
    <mergeCell ref="A11:B11"/>
    <mergeCell ref="A12:B12"/>
    <mergeCell ref="A13:B13"/>
    <mergeCell ref="A14:B14"/>
    <mergeCell ref="A16:B16"/>
    <mergeCell ref="A17:B17"/>
    <mergeCell ref="A18:B18"/>
    <mergeCell ref="A19:C19"/>
    <mergeCell ref="A20:A24"/>
    <mergeCell ref="B20:B22"/>
    <mergeCell ref="B24:C24"/>
  </mergeCells>
  <pageMargins left="0.70866141732283472" right="0.70866141732283472"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pageSetUpPr fitToPage="1"/>
  </sheetPr>
  <dimension ref="A1:H26"/>
  <sheetViews>
    <sheetView zoomScale="120" zoomScaleNormal="120" workbookViewId="0">
      <pane ySplit="7" topLeftCell="A8" activePane="bottomLeft" state="frozen"/>
      <selection activeCell="A8" sqref="A8:B8"/>
      <selection pane="bottomLeft" activeCell="C1" sqref="C1"/>
    </sheetView>
  </sheetViews>
  <sheetFormatPr baseColWidth="10" defaultColWidth="10.7109375" defaultRowHeight="15" x14ac:dyDescent="0.25"/>
  <cols>
    <col min="1" max="1" width="24.85546875" style="30" customWidth="1"/>
    <col min="2" max="2" width="16.140625" style="30" customWidth="1"/>
    <col min="3" max="3" width="14.7109375" style="59" customWidth="1"/>
    <col min="4" max="4" width="12" style="67" bestFit="1" customWidth="1"/>
    <col min="5" max="5" width="10.7109375" style="30"/>
    <col min="6" max="8" width="12.7109375" style="30" customWidth="1"/>
    <col min="9" max="16384" width="10.7109375" style="30"/>
  </cols>
  <sheetData>
    <row r="1" spans="1:8" ht="24" thickBot="1" x14ac:dyDescent="0.4">
      <c r="A1" s="74" t="str">
        <f ca="1">"Beitragsnachweis "&amp;RIGHT(MID(CELL("dateiname",A1),FIND("]",CELL("dateiname",A1))+1,255),3)</f>
        <v>Beitragsnachweis KKH</v>
      </c>
      <c r="C1" s="84">
        <f>GH_Gesamt!C1</f>
        <v>1</v>
      </c>
      <c r="D1" s="84">
        <f>GH_Gesamt!D1</f>
        <v>2020</v>
      </c>
    </row>
    <row r="2" spans="1:8" ht="15.75" thickBot="1" x14ac:dyDescent="0.3">
      <c r="A2" s="66"/>
    </row>
    <row r="3" spans="1:8" x14ac:dyDescent="0.25">
      <c r="A3" s="19" t="s">
        <v>28</v>
      </c>
      <c r="B3" s="235" t="str">
        <f>GH_Gesamt!B3</f>
        <v>Muster-Üfa</v>
      </c>
      <c r="C3" s="236"/>
      <c r="D3" s="237"/>
    </row>
    <row r="4" spans="1:8" x14ac:dyDescent="0.25">
      <c r="A4" s="20"/>
      <c r="B4" s="238" t="str">
        <f>GH_Gesamt!B4</f>
        <v>Musterstraße 1</v>
      </c>
      <c r="C4" s="239"/>
      <c r="D4" s="240"/>
    </row>
    <row r="5" spans="1:8" ht="15.75" thickBot="1" x14ac:dyDescent="0.3">
      <c r="A5" s="21"/>
      <c r="B5" s="241" t="str">
        <f>GH_Gesamt!B5</f>
        <v>10101 Musterstadt</v>
      </c>
      <c r="C5" s="242"/>
      <c r="D5" s="243"/>
    </row>
    <row r="7" spans="1:8" ht="30" x14ac:dyDescent="0.25">
      <c r="A7" s="245" t="s">
        <v>32</v>
      </c>
      <c r="B7" s="245"/>
      <c r="C7" s="75" t="s">
        <v>33</v>
      </c>
      <c r="D7" s="76" t="s">
        <v>34</v>
      </c>
      <c r="F7" s="234" t="s">
        <v>300</v>
      </c>
      <c r="G7" s="234"/>
      <c r="H7" s="234"/>
    </row>
    <row r="8" spans="1:8" ht="29.25" customHeight="1" x14ac:dyDescent="0.25">
      <c r="A8" s="244" t="s">
        <v>35</v>
      </c>
      <c r="B8" s="244"/>
      <c r="C8" s="77">
        <v>1000</v>
      </c>
      <c r="D8" s="69">
        <f ca="1">HLOOKUP(RIGHT($A$1,3),GH_Gesamt!$F$31:$I$36,2,FALSE)*2</f>
        <v>0</v>
      </c>
    </row>
    <row r="9" spans="1:8" ht="29.25" customHeight="1" x14ac:dyDescent="0.25">
      <c r="A9" s="244" t="s">
        <v>36</v>
      </c>
      <c r="B9" s="244"/>
      <c r="C9" s="77">
        <v>3000</v>
      </c>
      <c r="D9" s="69"/>
    </row>
    <row r="10" spans="1:8" ht="30" customHeight="1" x14ac:dyDescent="0.25">
      <c r="A10" s="244" t="s">
        <v>37</v>
      </c>
      <c r="B10" s="244"/>
      <c r="C10" s="77"/>
      <c r="D10" s="69"/>
    </row>
    <row r="11" spans="1:8" ht="30.75" customHeight="1" x14ac:dyDescent="0.25">
      <c r="A11" s="244" t="s">
        <v>38</v>
      </c>
      <c r="B11" s="244"/>
      <c r="C11" s="78" t="s">
        <v>39</v>
      </c>
      <c r="D11" s="69">
        <f ca="1">HLOOKUP(RIGHT($A$1,3),GH_Gesamt!$F$31:$I$36,3,FALSE)*2</f>
        <v>0</v>
      </c>
    </row>
    <row r="12" spans="1:8" ht="30" customHeight="1" x14ac:dyDescent="0.25">
      <c r="A12" s="244" t="s">
        <v>40</v>
      </c>
      <c r="B12" s="244"/>
      <c r="C12" s="78" t="s">
        <v>41</v>
      </c>
      <c r="D12" s="69"/>
    </row>
    <row r="13" spans="1:8" ht="29.25" customHeight="1" x14ac:dyDescent="0.25">
      <c r="A13" s="244" t="s">
        <v>42</v>
      </c>
      <c r="B13" s="244"/>
      <c r="C13" s="78" t="s">
        <v>43</v>
      </c>
      <c r="D13" s="69">
        <f ca="1">HLOOKUP(RIGHT($A$1,3),GH_Gesamt!$F$31:$I$36,4,FALSE)*2</f>
        <v>0</v>
      </c>
    </row>
    <row r="14" spans="1:8" ht="30" customHeight="1" x14ac:dyDescent="0.25">
      <c r="A14" s="244" t="s">
        <v>44</v>
      </c>
      <c r="B14" s="244"/>
      <c r="C14" s="78" t="s">
        <v>45</v>
      </c>
      <c r="D14" s="69"/>
    </row>
    <row r="15" spans="1:8" ht="30" customHeight="1" x14ac:dyDescent="0.25">
      <c r="A15" s="244" t="s">
        <v>46</v>
      </c>
      <c r="B15" s="244"/>
      <c r="C15" s="78" t="s">
        <v>47</v>
      </c>
      <c r="D15" s="69">
        <f ca="1">HLOOKUP(RIGHT($A$1,3),GH_Gesamt!$F$31:$I$36,5,FALSE)*2</f>
        <v>0</v>
      </c>
    </row>
    <row r="16" spans="1:8" ht="30" customHeight="1" x14ac:dyDescent="0.25">
      <c r="A16" s="244" t="s">
        <v>48</v>
      </c>
      <c r="B16" s="244"/>
      <c r="C16" s="68" t="s">
        <v>49</v>
      </c>
      <c r="D16" s="69"/>
    </row>
    <row r="17" spans="1:4" ht="30" customHeight="1" x14ac:dyDescent="0.25">
      <c r="A17" s="244" t="s">
        <v>50</v>
      </c>
      <c r="B17" s="244"/>
      <c r="C17" s="68" t="s">
        <v>51</v>
      </c>
      <c r="D17" s="69"/>
    </row>
    <row r="18" spans="1:4" ht="30" customHeight="1" x14ac:dyDescent="0.25">
      <c r="A18" s="244" t="s">
        <v>52</v>
      </c>
      <c r="B18" s="244"/>
      <c r="C18" s="68" t="s">
        <v>53</v>
      </c>
      <c r="D18" s="69"/>
    </row>
    <row r="19" spans="1:4" ht="30" customHeight="1" x14ac:dyDescent="0.25">
      <c r="A19" s="246" t="s">
        <v>54</v>
      </c>
      <c r="B19" s="246"/>
      <c r="C19" s="246"/>
      <c r="D19" s="69">
        <f ca="1">SUM(D8:D15)</f>
        <v>0</v>
      </c>
    </row>
    <row r="20" spans="1:4" ht="26.25" x14ac:dyDescent="0.25">
      <c r="A20" s="247" t="s">
        <v>55</v>
      </c>
      <c r="B20" s="247" t="s">
        <v>56</v>
      </c>
      <c r="C20" s="70" t="s">
        <v>57</v>
      </c>
      <c r="D20" s="69"/>
    </row>
    <row r="21" spans="1:4" x14ac:dyDescent="0.25">
      <c r="A21" s="247"/>
      <c r="B21" s="247"/>
      <c r="C21" s="71" t="s">
        <v>58</v>
      </c>
      <c r="D21" s="69"/>
    </row>
    <row r="22" spans="1:4" x14ac:dyDescent="0.25">
      <c r="A22" s="247"/>
      <c r="B22" s="247"/>
      <c r="C22" s="71" t="s">
        <v>59</v>
      </c>
      <c r="D22" s="69"/>
    </row>
    <row r="23" spans="1:4" ht="26.25" x14ac:dyDescent="0.25">
      <c r="A23" s="247"/>
      <c r="B23" s="72" t="s">
        <v>60</v>
      </c>
      <c r="C23" s="71"/>
      <c r="D23" s="69"/>
    </row>
    <row r="24" spans="1:4" x14ac:dyDescent="0.25">
      <c r="A24" s="247"/>
      <c r="B24" s="248" t="s">
        <v>61</v>
      </c>
      <c r="C24" s="248"/>
      <c r="D24" s="69">
        <f ca="1">D19</f>
        <v>0</v>
      </c>
    </row>
    <row r="26" spans="1:4" x14ac:dyDescent="0.25">
      <c r="C26" s="73"/>
    </row>
  </sheetData>
  <sheetProtection sheet="1" objects="1" scenarios="1" selectLockedCells="1"/>
  <mergeCells count="20">
    <mergeCell ref="F7:H7"/>
    <mergeCell ref="A15:B15"/>
    <mergeCell ref="B3:D3"/>
    <mergeCell ref="B4:D4"/>
    <mergeCell ref="B5:D5"/>
    <mergeCell ref="A7:B7"/>
    <mergeCell ref="A8:B8"/>
    <mergeCell ref="A9:B9"/>
    <mergeCell ref="A10:B10"/>
    <mergeCell ref="A11:B11"/>
    <mergeCell ref="A12:B12"/>
    <mergeCell ref="A13:B13"/>
    <mergeCell ref="A14:B14"/>
    <mergeCell ref="A16:B16"/>
    <mergeCell ref="A17:B17"/>
    <mergeCell ref="A18:B18"/>
    <mergeCell ref="A19:C19"/>
    <mergeCell ref="A20:A24"/>
    <mergeCell ref="B20:B22"/>
    <mergeCell ref="B24:C24"/>
  </mergeCells>
  <pageMargins left="0.70866141732283472" right="0.70866141732283472"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C2704"/>
  </sheetPr>
  <dimension ref="A1"/>
  <sheetViews>
    <sheetView workbookViewId="0"/>
  </sheetViews>
  <sheetFormatPr baseColWidth="10" defaultRowHeight="15" x14ac:dyDescent="0.25"/>
  <sheetData/>
  <sheetProtection sheet="1" objects="1" scenarios="1" selectLockedCells="1"/>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pageSetUpPr fitToPage="1"/>
  </sheetPr>
  <dimension ref="A1:V500"/>
  <sheetViews>
    <sheetView zoomScale="120" zoomScaleNormal="120" zoomScaleSheetLayoutView="50" workbookViewId="0">
      <pane ySplit="1" topLeftCell="A2" activePane="bottomLeft" state="frozen"/>
      <selection activeCell="A47" sqref="A47"/>
      <selection pane="bottomLeft" activeCell="B8" sqref="B8:D8"/>
    </sheetView>
  </sheetViews>
  <sheetFormatPr baseColWidth="10" defaultColWidth="11.42578125" defaultRowHeight="15" outlineLevelCol="1" x14ac:dyDescent="0.25"/>
  <cols>
    <col min="1" max="1" width="17.85546875" style="30" customWidth="1"/>
    <col min="2" max="2" width="18.140625" style="30" customWidth="1"/>
    <col min="3" max="3" width="5.28515625" style="30" customWidth="1"/>
    <col min="4" max="4" width="19.28515625" style="30" customWidth="1"/>
    <col min="5" max="5" width="8.7109375" style="30" hidden="1" customWidth="1" outlineLevel="1"/>
    <col min="6" max="6" width="13.5703125" style="30" bestFit="1" customWidth="1" collapsed="1"/>
    <col min="7" max="10" width="13.28515625" style="30" customWidth="1"/>
    <col min="11" max="11" width="11.42578125" style="30"/>
    <col min="12" max="12" width="20.140625" style="30" hidden="1" customWidth="1" outlineLevel="1"/>
    <col min="13" max="15" width="11.42578125" style="30" hidden="1" customWidth="1" outlineLevel="1"/>
    <col min="16" max="16" width="5.85546875" style="30" hidden="1" customWidth="1" outlineLevel="1"/>
    <col min="17" max="17" width="4.140625" style="30" hidden="1" customWidth="1" outlineLevel="1"/>
    <col min="18" max="18" width="15.5703125" style="30" hidden="1" customWidth="1" outlineLevel="1"/>
    <col min="19" max="21" width="11.42578125" style="30" hidden="1" customWidth="1" outlineLevel="1"/>
    <col min="22" max="22" width="11.42578125" style="30" collapsed="1"/>
    <col min="23" max="16384" width="11.42578125" style="30"/>
  </cols>
  <sheetData>
    <row r="1" spans="1:15" ht="27" customHeight="1" thickBot="1" x14ac:dyDescent="0.3">
      <c r="A1" s="201" t="s">
        <v>27</v>
      </c>
      <c r="B1" s="201"/>
      <c r="C1" s="84">
        <f>GH_Gesamt!C1</f>
        <v>1</v>
      </c>
      <c r="D1" s="84">
        <f>GH_Gesamt!D1</f>
        <v>2020</v>
      </c>
      <c r="G1" s="2"/>
    </row>
    <row r="2" spans="1:15" ht="15.75" thickBot="1" x14ac:dyDescent="0.3">
      <c r="B2" s="4"/>
      <c r="C2" s="4"/>
      <c r="D2" s="4"/>
      <c r="F2" s="2"/>
      <c r="G2" s="2"/>
      <c r="L2" s="143" t="s">
        <v>289</v>
      </c>
      <c r="M2" s="116" t="s">
        <v>123</v>
      </c>
    </row>
    <row r="3" spans="1:15" x14ac:dyDescent="0.25">
      <c r="A3" s="19" t="s">
        <v>28</v>
      </c>
      <c r="B3" s="235" t="str">
        <f>GH_Gesamt!B3</f>
        <v>Muster-Üfa</v>
      </c>
      <c r="C3" s="236"/>
      <c r="D3" s="237"/>
      <c r="F3" s="2"/>
      <c r="G3" s="2"/>
      <c r="L3" s="147" t="s">
        <v>290</v>
      </c>
      <c r="N3" s="116"/>
      <c r="O3" s="117"/>
    </row>
    <row r="4" spans="1:15" x14ac:dyDescent="0.25">
      <c r="A4" s="20"/>
      <c r="B4" s="238" t="str">
        <f>GH_Gesamt!B4</f>
        <v>Musterstraße 1</v>
      </c>
      <c r="C4" s="239"/>
      <c r="D4" s="240"/>
      <c r="F4" s="2"/>
      <c r="G4" s="2"/>
      <c r="L4" s="30" t="str">
        <f>IF(M4=$R$41,$S$41,IF(M4=$R$42,$S$42,IF(M4=$R$43,$S$43,IF(M4=$R$44,$S$44,IF(M4=$R$45,$S$45,"")))))</f>
        <v/>
      </c>
      <c r="M4" s="151" t="s">
        <v>124</v>
      </c>
      <c r="N4" s="144"/>
      <c r="O4" s="118">
        <v>0</v>
      </c>
    </row>
    <row r="5" spans="1:15" ht="15.75" thickBot="1" x14ac:dyDescent="0.3">
      <c r="A5" s="21"/>
      <c r="B5" s="241" t="str">
        <f>GH_Gesamt!B5</f>
        <v>10101 Musterstadt</v>
      </c>
      <c r="C5" s="242"/>
      <c r="D5" s="243"/>
      <c r="F5" s="2"/>
      <c r="G5" s="2"/>
      <c r="I5" s="2"/>
      <c r="L5" s="30" t="str">
        <f t="shared" ref="L5:L68" si="0">IF(M5=$R$41,$S$41,IF(M5=$R$42,$S$42,IF(M5=$R$43,$S$43,IF(M5=$R$44,$S$44,IF(M5=$R$45,$S$45,"")))))</f>
        <v/>
      </c>
      <c r="M5" s="151" t="s">
        <v>125</v>
      </c>
      <c r="N5" s="144"/>
      <c r="O5" s="118">
        <v>0</v>
      </c>
    </row>
    <row r="6" spans="1:15" ht="15.75" thickBot="1" x14ac:dyDescent="0.3">
      <c r="B6" s="26"/>
      <c r="C6" s="2"/>
      <c r="D6" s="3"/>
      <c r="F6" s="2"/>
      <c r="I6" s="2"/>
      <c r="L6" s="30" t="str">
        <f t="shared" si="0"/>
        <v/>
      </c>
      <c r="M6" s="144" t="s">
        <v>126</v>
      </c>
      <c r="N6" s="144"/>
      <c r="O6" s="118">
        <v>0</v>
      </c>
    </row>
    <row r="7" spans="1:15" ht="15.75" x14ac:dyDescent="0.25">
      <c r="A7" s="50" t="s">
        <v>5</v>
      </c>
      <c r="B7" s="257"/>
      <c r="C7" s="258"/>
      <c r="D7" s="259"/>
      <c r="G7" s="277" t="s">
        <v>122</v>
      </c>
      <c r="H7" s="277"/>
      <c r="I7" s="277"/>
      <c r="L7" s="30" t="str">
        <f t="shared" si="0"/>
        <v/>
      </c>
      <c r="M7" s="152" t="s">
        <v>127</v>
      </c>
      <c r="N7" s="144"/>
      <c r="O7" s="119">
        <v>0</v>
      </c>
    </row>
    <row r="8" spans="1:15" x14ac:dyDescent="0.25">
      <c r="A8" s="20" t="s">
        <v>21</v>
      </c>
      <c r="B8" s="260"/>
      <c r="C8" s="261"/>
      <c r="D8" s="262"/>
      <c r="G8" s="277"/>
      <c r="H8" s="277"/>
      <c r="I8" s="277"/>
      <c r="L8" s="30" t="str">
        <f t="shared" si="0"/>
        <v/>
      </c>
      <c r="M8" s="144" t="s">
        <v>128</v>
      </c>
      <c r="N8" s="144"/>
      <c r="O8" s="118">
        <v>0</v>
      </c>
    </row>
    <row r="9" spans="1:15" x14ac:dyDescent="0.25">
      <c r="A9" s="20"/>
      <c r="B9" s="260"/>
      <c r="C9" s="261"/>
      <c r="D9" s="262"/>
      <c r="G9" s="2"/>
      <c r="H9" s="2"/>
      <c r="L9" s="30" t="str">
        <f t="shared" si="0"/>
        <v/>
      </c>
      <c r="M9" s="144" t="s">
        <v>129</v>
      </c>
      <c r="N9" s="144"/>
      <c r="O9" s="120">
        <v>0</v>
      </c>
    </row>
    <row r="10" spans="1:15" x14ac:dyDescent="0.25">
      <c r="A10" s="20"/>
      <c r="B10" s="260"/>
      <c r="C10" s="261"/>
      <c r="D10" s="262"/>
      <c r="F10" s="2"/>
      <c r="G10" s="2"/>
      <c r="H10" s="2"/>
      <c r="L10" s="30" t="str">
        <f t="shared" si="0"/>
        <v/>
      </c>
      <c r="M10" s="144" t="s">
        <v>130</v>
      </c>
      <c r="N10" s="144"/>
      <c r="O10" s="118">
        <v>2</v>
      </c>
    </row>
    <row r="11" spans="1:15" ht="15.75" thickBot="1" x14ac:dyDescent="0.3">
      <c r="A11" s="21"/>
      <c r="B11" s="278"/>
      <c r="C11" s="279"/>
      <c r="D11" s="280"/>
      <c r="G11" s="2"/>
      <c r="H11" s="2"/>
      <c r="L11" s="30" t="str">
        <f t="shared" si="0"/>
        <v/>
      </c>
      <c r="M11" s="151" t="s">
        <v>131</v>
      </c>
      <c r="N11" s="144"/>
      <c r="O11" s="118">
        <v>0</v>
      </c>
    </row>
    <row r="12" spans="1:15" ht="15.75" thickBot="1" x14ac:dyDescent="0.3">
      <c r="A12" s="4"/>
      <c r="B12" s="2"/>
      <c r="C12" s="2"/>
      <c r="G12" s="2"/>
      <c r="H12" s="2"/>
      <c r="L12" s="30" t="str">
        <f t="shared" si="0"/>
        <v/>
      </c>
      <c r="M12" s="151" t="s">
        <v>132</v>
      </c>
      <c r="N12" s="144"/>
      <c r="O12" s="118">
        <v>0</v>
      </c>
    </row>
    <row r="13" spans="1:15" ht="15.75" x14ac:dyDescent="0.25">
      <c r="A13" s="16" t="s">
        <v>6</v>
      </c>
      <c r="B13" s="27"/>
      <c r="C13" s="268"/>
      <c r="D13" s="269"/>
      <c r="F13" s="2"/>
      <c r="I13" s="2"/>
      <c r="J13" s="2"/>
      <c r="L13" s="30" t="str">
        <f t="shared" si="0"/>
        <v/>
      </c>
      <c r="M13" s="151" t="s">
        <v>133</v>
      </c>
      <c r="N13" s="144"/>
      <c r="O13" s="118">
        <v>0</v>
      </c>
    </row>
    <row r="14" spans="1:15" x14ac:dyDescent="0.25">
      <c r="A14" s="17" t="s">
        <v>0</v>
      </c>
      <c r="B14" s="11"/>
      <c r="C14" s="270"/>
      <c r="D14" s="271"/>
      <c r="G14" s="251" t="s">
        <v>240</v>
      </c>
      <c r="H14" s="251"/>
      <c r="I14" s="2"/>
      <c r="J14" s="2"/>
      <c r="L14" s="30" t="str">
        <f t="shared" si="0"/>
        <v/>
      </c>
      <c r="M14" s="151" t="s">
        <v>134</v>
      </c>
      <c r="N14" s="144"/>
      <c r="O14" s="118">
        <v>0</v>
      </c>
    </row>
    <row r="15" spans="1:15" x14ac:dyDescent="0.25">
      <c r="A15" s="17" t="s">
        <v>237</v>
      </c>
      <c r="B15" s="12"/>
      <c r="C15" s="270"/>
      <c r="D15" s="271"/>
      <c r="I15" s="2"/>
      <c r="L15" s="30" t="str">
        <f t="shared" si="0"/>
        <v/>
      </c>
      <c r="M15" s="151" t="s">
        <v>135</v>
      </c>
      <c r="N15" s="144"/>
      <c r="O15" s="118">
        <v>0</v>
      </c>
    </row>
    <row r="16" spans="1:15" x14ac:dyDescent="0.25">
      <c r="A16" s="17" t="s">
        <v>24</v>
      </c>
      <c r="B16" s="15"/>
      <c r="C16" s="275"/>
      <c r="D16" s="276"/>
      <c r="G16" s="251" t="s">
        <v>251</v>
      </c>
      <c r="H16" s="274"/>
      <c r="I16" s="274"/>
      <c r="J16" s="274"/>
      <c r="L16" s="30" t="str">
        <f t="shared" si="0"/>
        <v/>
      </c>
      <c r="M16" s="151" t="s">
        <v>136</v>
      </c>
      <c r="N16" s="144"/>
      <c r="O16" s="118">
        <v>0</v>
      </c>
    </row>
    <row r="17" spans="1:20" x14ac:dyDescent="0.25">
      <c r="A17" s="17" t="s">
        <v>115</v>
      </c>
      <c r="B17" s="15"/>
      <c r="C17" s="270"/>
      <c r="D17" s="271"/>
      <c r="E17" s="126" t="s">
        <v>140</v>
      </c>
      <c r="G17" s="251" t="s">
        <v>239</v>
      </c>
      <c r="H17" s="251"/>
      <c r="L17" s="30" t="str">
        <f t="shared" si="0"/>
        <v/>
      </c>
      <c r="M17" s="144" t="s">
        <v>137</v>
      </c>
      <c r="N17" s="144"/>
      <c r="O17" s="118">
        <v>1</v>
      </c>
    </row>
    <row r="18" spans="1:20" x14ac:dyDescent="0.25">
      <c r="A18" s="17" t="s">
        <v>3</v>
      </c>
      <c r="B18" s="13"/>
      <c r="C18" s="272"/>
      <c r="D18" s="273"/>
      <c r="L18" s="30" t="str">
        <f t="shared" si="0"/>
        <v>RE4 aus C23</v>
      </c>
      <c r="M18" s="144" t="s">
        <v>138</v>
      </c>
      <c r="N18" s="144"/>
      <c r="O18" s="148">
        <f>C23*100</f>
        <v>0</v>
      </c>
    </row>
    <row r="19" spans="1:20" ht="15.75" thickBot="1" x14ac:dyDescent="0.3">
      <c r="A19" s="18" t="s">
        <v>4</v>
      </c>
      <c r="B19" s="14"/>
      <c r="C19" s="249"/>
      <c r="D19" s="250"/>
      <c r="L19" s="30" t="str">
        <f t="shared" si="0"/>
        <v/>
      </c>
      <c r="M19" s="144" t="s">
        <v>139</v>
      </c>
      <c r="N19" s="144"/>
      <c r="O19" s="118">
        <v>0</v>
      </c>
    </row>
    <row r="20" spans="1:20" x14ac:dyDescent="0.25">
      <c r="L20" s="30" t="str">
        <f t="shared" si="0"/>
        <v>STKL aus C17</v>
      </c>
      <c r="M20" s="144" t="s">
        <v>140</v>
      </c>
      <c r="N20" s="144"/>
      <c r="O20" s="145">
        <f>C17</f>
        <v>0</v>
      </c>
    </row>
    <row r="21" spans="1:20" ht="15.75" thickBot="1" x14ac:dyDescent="0.3">
      <c r="G21" s="2"/>
      <c r="H21" s="2"/>
      <c r="L21" s="30" t="str">
        <f t="shared" si="0"/>
        <v/>
      </c>
      <c r="M21" s="144" t="s">
        <v>141</v>
      </c>
      <c r="N21" s="144"/>
      <c r="O21" s="118">
        <v>0</v>
      </c>
    </row>
    <row r="22" spans="1:20" ht="15.75" thickBot="1" x14ac:dyDescent="0.3">
      <c r="A22" s="22" t="s">
        <v>7</v>
      </c>
      <c r="B22" s="23" t="s">
        <v>31</v>
      </c>
      <c r="C22" s="34" t="s">
        <v>8</v>
      </c>
      <c r="D22" s="24"/>
      <c r="F22" s="2"/>
      <c r="G22" s="2"/>
      <c r="H22" s="2"/>
      <c r="L22" s="30" t="str">
        <f t="shared" si="0"/>
        <v/>
      </c>
      <c r="M22" s="144" t="s">
        <v>142</v>
      </c>
      <c r="N22" s="144"/>
      <c r="O22" s="118">
        <v>0</v>
      </c>
      <c r="Q22" s="66" t="s">
        <v>264</v>
      </c>
    </row>
    <row r="23" spans="1:20" ht="15.75" thickBot="1" x14ac:dyDescent="0.3">
      <c r="A23" s="51" t="s">
        <v>15</v>
      </c>
      <c r="B23" s="48"/>
      <c r="C23" s="255">
        <f>C24+C25</f>
        <v>0</v>
      </c>
      <c r="D23" s="200"/>
      <c r="E23" s="126" t="s">
        <v>138</v>
      </c>
      <c r="F23" s="2"/>
      <c r="G23" s="58"/>
      <c r="H23" s="2"/>
      <c r="L23" s="30" t="str">
        <f t="shared" si="0"/>
        <v/>
      </c>
      <c r="M23" s="144" t="s">
        <v>143</v>
      </c>
      <c r="N23" s="144"/>
      <c r="O23" s="118">
        <v>0</v>
      </c>
    </row>
    <row r="24" spans="1:20" x14ac:dyDescent="0.25">
      <c r="A24" s="44"/>
      <c r="B24" s="53" t="s">
        <v>9</v>
      </c>
      <c r="C24" s="264"/>
      <c r="D24" s="265"/>
      <c r="F24" s="2"/>
      <c r="G24" s="252" t="s">
        <v>242</v>
      </c>
      <c r="H24" s="252"/>
      <c r="L24" s="30" t="str">
        <f t="shared" si="0"/>
        <v/>
      </c>
      <c r="M24" s="144" t="s">
        <v>144</v>
      </c>
      <c r="N24" s="144"/>
      <c r="O24" s="118">
        <v>0</v>
      </c>
      <c r="Q24" s="150" t="s">
        <v>282</v>
      </c>
      <c r="R24" s="30" t="s">
        <v>266</v>
      </c>
    </row>
    <row r="25" spans="1:20" ht="15.75" thickBot="1" x14ac:dyDescent="0.3">
      <c r="A25" s="52"/>
      <c r="B25" s="54" t="s">
        <v>22</v>
      </c>
      <c r="C25" s="266"/>
      <c r="D25" s="267"/>
      <c r="G25" s="252" t="s">
        <v>241</v>
      </c>
      <c r="H25" s="252"/>
      <c r="L25" s="30" t="str">
        <f t="shared" si="0"/>
        <v/>
      </c>
      <c r="M25" s="144" t="s">
        <v>145</v>
      </c>
      <c r="N25" s="144"/>
      <c r="O25" s="121">
        <v>0</v>
      </c>
      <c r="Q25" s="150"/>
      <c r="R25" s="30" t="s">
        <v>265</v>
      </c>
    </row>
    <row r="26" spans="1:20" ht="15.75" thickBot="1" x14ac:dyDescent="0.3">
      <c r="A26" s="55" t="s">
        <v>30</v>
      </c>
      <c r="B26" s="81"/>
      <c r="C26" s="263">
        <f>D27+D31</f>
        <v>0</v>
      </c>
      <c r="D26" s="208"/>
      <c r="F26" s="2"/>
      <c r="G26" s="5"/>
      <c r="H26" s="2"/>
      <c r="L26" s="30" t="str">
        <f t="shared" si="0"/>
        <v/>
      </c>
      <c r="M26" s="144" t="s">
        <v>146</v>
      </c>
      <c r="N26" s="144"/>
      <c r="O26" s="118">
        <v>0</v>
      </c>
      <c r="Q26" s="150" t="s">
        <v>283</v>
      </c>
      <c r="R26" s="30" t="s">
        <v>292</v>
      </c>
    </row>
    <row r="27" spans="1:20" ht="15.75" thickBot="1" x14ac:dyDescent="0.3">
      <c r="A27" s="40"/>
      <c r="B27" s="47" t="s">
        <v>71</v>
      </c>
      <c r="C27" s="105"/>
      <c r="D27" s="91">
        <f>SUM(C28:D30)</f>
        <v>0</v>
      </c>
      <c r="F27" s="2"/>
      <c r="G27" s="5"/>
      <c r="H27" s="2"/>
      <c r="L27" s="30" t="str">
        <f t="shared" si="0"/>
        <v/>
      </c>
      <c r="M27" s="144"/>
      <c r="N27" s="144"/>
      <c r="O27" s="118"/>
      <c r="Q27" s="150" t="s">
        <v>284</v>
      </c>
      <c r="R27" s="30" t="s">
        <v>293</v>
      </c>
    </row>
    <row r="28" spans="1:20" ht="15" customHeight="1" x14ac:dyDescent="0.25">
      <c r="A28" s="46"/>
      <c r="B28" s="49" t="s">
        <v>72</v>
      </c>
      <c r="C28" s="197">
        <f>O233/100</f>
        <v>0</v>
      </c>
      <c r="D28" s="198"/>
      <c r="E28" s="146" t="s">
        <v>230</v>
      </c>
      <c r="F28" s="253"/>
      <c r="G28" s="5"/>
      <c r="H28" s="2"/>
      <c r="L28" s="30" t="str">
        <f t="shared" si="0"/>
        <v/>
      </c>
      <c r="M28" s="144"/>
      <c r="N28" s="144"/>
      <c r="O28" s="118"/>
      <c r="Q28" s="150" t="s">
        <v>285</v>
      </c>
      <c r="R28" s="30" t="s">
        <v>294</v>
      </c>
    </row>
    <row r="29" spans="1:20" x14ac:dyDescent="0.25">
      <c r="A29" s="46"/>
      <c r="B29" s="10" t="s">
        <v>73</v>
      </c>
      <c r="C29" s="138" t="s">
        <v>25</v>
      </c>
      <c r="D29" s="127">
        <f>IF(C29="ja",TRUNC(O268*8%/100,2),0)</f>
        <v>0</v>
      </c>
      <c r="E29" s="146" t="s">
        <v>236</v>
      </c>
      <c r="F29" s="253"/>
      <c r="G29" s="252" t="s">
        <v>243</v>
      </c>
      <c r="H29" s="252"/>
      <c r="L29" s="30" t="str">
        <f t="shared" si="0"/>
        <v/>
      </c>
      <c r="M29" s="144"/>
      <c r="N29" s="144"/>
      <c r="O29" s="118"/>
      <c r="Q29" s="150" t="s">
        <v>286</v>
      </c>
      <c r="R29" s="30" t="s">
        <v>270</v>
      </c>
    </row>
    <row r="30" spans="1:20" ht="15.75" thickBot="1" x14ac:dyDescent="0.3">
      <c r="A30" s="46" t="s">
        <v>74</v>
      </c>
      <c r="B30" s="82" t="s">
        <v>75</v>
      </c>
      <c r="C30" s="195">
        <f>O263/100</f>
        <v>0</v>
      </c>
      <c r="D30" s="196"/>
      <c r="E30" s="146" t="s">
        <v>235</v>
      </c>
      <c r="F30" s="253"/>
      <c r="L30" s="30" t="str">
        <f t="shared" si="0"/>
        <v/>
      </c>
      <c r="M30" s="153" t="s">
        <v>147</v>
      </c>
      <c r="N30" s="144"/>
      <c r="O30" s="118"/>
      <c r="R30" s="149" t="s">
        <v>267</v>
      </c>
      <c r="S30" s="149" t="s">
        <v>268</v>
      </c>
      <c r="T30" s="30" t="s">
        <v>275</v>
      </c>
    </row>
    <row r="31" spans="1:20" ht="15.75" thickBot="1" x14ac:dyDescent="0.3">
      <c r="A31" s="46"/>
      <c r="B31" s="83" t="s">
        <v>81</v>
      </c>
      <c r="C31" s="106"/>
      <c r="D31" s="91">
        <f>SUM(C32:D36)</f>
        <v>0</v>
      </c>
      <c r="E31" s="28"/>
      <c r="F31" s="128"/>
      <c r="G31" s="43" t="s">
        <v>17</v>
      </c>
      <c r="H31" s="43" t="s">
        <v>18</v>
      </c>
      <c r="I31" s="43" t="s">
        <v>19</v>
      </c>
      <c r="J31" s="43" t="s">
        <v>20</v>
      </c>
      <c r="L31" s="30" t="str">
        <f t="shared" si="0"/>
        <v/>
      </c>
      <c r="M31" s="153"/>
      <c r="N31" s="144"/>
      <c r="O31" s="118"/>
      <c r="R31" s="149" t="s">
        <v>272</v>
      </c>
      <c r="S31" s="149" t="s">
        <v>269</v>
      </c>
      <c r="T31" s="30" t="s">
        <v>276</v>
      </c>
    </row>
    <row r="32" spans="1:20" x14ac:dyDescent="0.25">
      <c r="A32" s="46"/>
      <c r="B32" s="49" t="s">
        <v>76</v>
      </c>
      <c r="C32" s="197">
        <f>IF($C$14="",0,VLOOKUP($C$14,'Beitragssätze SV'!$A$4:$B$7,2,FALSE)*$C$23/100)</f>
        <v>0</v>
      </c>
      <c r="D32" s="198"/>
      <c r="E32" s="28"/>
      <c r="F32" s="254"/>
      <c r="G32" s="103" t="str">
        <f t="shared" ref="G32:J36" si="1">IF($C$14=G$31,$C32,"")</f>
        <v/>
      </c>
      <c r="H32" s="103" t="str">
        <f t="shared" si="1"/>
        <v/>
      </c>
      <c r="I32" s="103" t="str">
        <f t="shared" si="1"/>
        <v/>
      </c>
      <c r="J32" s="103" t="str">
        <f t="shared" si="1"/>
        <v/>
      </c>
      <c r="L32" s="30" t="str">
        <f t="shared" si="0"/>
        <v/>
      </c>
      <c r="M32" s="153" t="s">
        <v>148</v>
      </c>
      <c r="N32" s="144"/>
      <c r="O32" s="118"/>
      <c r="Q32" s="150" t="s">
        <v>287</v>
      </c>
      <c r="R32" s="30" t="s">
        <v>271</v>
      </c>
    </row>
    <row r="33" spans="1:20" x14ac:dyDescent="0.25">
      <c r="A33" s="46"/>
      <c r="B33" s="10" t="s">
        <v>77</v>
      </c>
      <c r="C33" s="193">
        <f>VLOOKUP(TRIM($B33),'Beitragssätze SV'!$A$8:$B$11,2,FALSE)*$C$23/100</f>
        <v>0</v>
      </c>
      <c r="D33" s="194"/>
      <c r="E33" s="28"/>
      <c r="F33" s="254"/>
      <c r="G33" s="103" t="str">
        <f t="shared" si="1"/>
        <v/>
      </c>
      <c r="H33" s="103" t="str">
        <f t="shared" si="1"/>
        <v/>
      </c>
      <c r="I33" s="103" t="str">
        <f t="shared" si="1"/>
        <v/>
      </c>
      <c r="J33" s="103" t="str">
        <f t="shared" si="1"/>
        <v/>
      </c>
      <c r="L33" s="30" t="str">
        <f t="shared" si="0"/>
        <v/>
      </c>
      <c r="M33" s="151" t="s">
        <v>149</v>
      </c>
      <c r="N33" s="144"/>
      <c r="O33" s="118">
        <f>IF(OR(O8=0,O8=2),82800,77400)</f>
        <v>82800</v>
      </c>
      <c r="R33" s="149" t="s">
        <v>281</v>
      </c>
      <c r="S33" s="149" t="s">
        <v>280</v>
      </c>
      <c r="T33" s="149" t="s">
        <v>277</v>
      </c>
    </row>
    <row r="34" spans="1:20" x14ac:dyDescent="0.25">
      <c r="A34" s="46"/>
      <c r="B34" s="10" t="s">
        <v>78</v>
      </c>
      <c r="C34" s="193">
        <f>VLOOKUP(TRIM($B34),'Beitragssätze SV'!$A$8:$B$11,2,FALSE)*$C$23/100</f>
        <v>0</v>
      </c>
      <c r="D34" s="194"/>
      <c r="E34" s="28"/>
      <c r="F34" s="254"/>
      <c r="G34" s="103" t="str">
        <f t="shared" si="1"/>
        <v/>
      </c>
      <c r="H34" s="103" t="str">
        <f t="shared" si="1"/>
        <v/>
      </c>
      <c r="I34" s="103" t="str">
        <f t="shared" si="1"/>
        <v/>
      </c>
      <c r="J34" s="103" t="str">
        <f t="shared" si="1"/>
        <v/>
      </c>
      <c r="L34" s="30" t="str">
        <f t="shared" si="0"/>
        <v/>
      </c>
      <c r="M34" s="151" t="s">
        <v>150</v>
      </c>
      <c r="N34" s="144"/>
      <c r="O34" s="122">
        <v>9.2999999999999999E-2</v>
      </c>
      <c r="R34" s="149" t="s">
        <v>273</v>
      </c>
      <c r="S34" s="149" t="s">
        <v>280</v>
      </c>
      <c r="T34" s="149" t="s">
        <v>278</v>
      </c>
    </row>
    <row r="35" spans="1:20" x14ac:dyDescent="0.25">
      <c r="A35" s="46"/>
      <c r="B35" s="10" t="s">
        <v>79</v>
      </c>
      <c r="C35" s="193">
        <f>VLOOKUP(TRIM($B35),'Beitragssätze SV'!$A$8:$B$11,2,FALSE)*$C$23/100</f>
        <v>0</v>
      </c>
      <c r="D35" s="194"/>
      <c r="E35" s="28"/>
      <c r="F35" s="254"/>
      <c r="G35" s="103" t="str">
        <f t="shared" si="1"/>
        <v/>
      </c>
      <c r="H35" s="103" t="str">
        <f t="shared" si="1"/>
        <v/>
      </c>
      <c r="I35" s="103" t="str">
        <f t="shared" si="1"/>
        <v/>
      </c>
      <c r="J35" s="103" t="str">
        <f t="shared" si="1"/>
        <v/>
      </c>
      <c r="L35" s="30" t="str">
        <f t="shared" si="0"/>
        <v/>
      </c>
      <c r="M35" s="151" t="s">
        <v>151</v>
      </c>
      <c r="N35" s="144"/>
      <c r="O35" s="120">
        <v>0.8</v>
      </c>
      <c r="R35" s="149" t="s">
        <v>274</v>
      </c>
      <c r="S35" s="149" t="s">
        <v>280</v>
      </c>
      <c r="T35" s="149" t="s">
        <v>279</v>
      </c>
    </row>
    <row r="36" spans="1:20" ht="15.75" thickBot="1" x14ac:dyDescent="0.3">
      <c r="A36" s="56"/>
      <c r="B36" s="54" t="s">
        <v>80</v>
      </c>
      <c r="C36" s="193">
        <f>IF(C16="ja",VLOOKUP(TRIM($B36),'Beitragssätze SV'!$A$8:$B$11,2,FALSE)*$C$23/100,0)</f>
        <v>0</v>
      </c>
      <c r="D36" s="194"/>
      <c r="E36" s="28"/>
      <c r="F36" s="7"/>
      <c r="G36" s="103" t="str">
        <f t="shared" si="1"/>
        <v/>
      </c>
      <c r="H36" s="103" t="str">
        <f t="shared" si="1"/>
        <v/>
      </c>
      <c r="I36" s="103" t="str">
        <f t="shared" si="1"/>
        <v/>
      </c>
      <c r="J36" s="103" t="str">
        <f t="shared" si="1"/>
        <v/>
      </c>
      <c r="L36" s="30" t="str">
        <f t="shared" si="0"/>
        <v/>
      </c>
      <c r="M36" s="151" t="s">
        <v>152</v>
      </c>
      <c r="N36" s="144"/>
      <c r="O36" s="118">
        <v>56250</v>
      </c>
      <c r="Q36" s="150" t="s">
        <v>291</v>
      </c>
      <c r="R36" s="30" t="s">
        <v>288</v>
      </c>
    </row>
    <row r="37" spans="1:20" ht="15.75" thickBot="1" x14ac:dyDescent="0.3">
      <c r="A37" s="57" t="s">
        <v>13</v>
      </c>
      <c r="B37" s="42"/>
      <c r="C37" s="256">
        <f>C23-C26</f>
        <v>0</v>
      </c>
      <c r="D37" s="192"/>
      <c r="F37" s="6"/>
      <c r="G37" s="104">
        <f>SUM(G32:G36)</f>
        <v>0</v>
      </c>
      <c r="H37" s="104">
        <f>SUM(H32:H36)</f>
        <v>0</v>
      </c>
      <c r="I37" s="104">
        <f>SUM(I32:I36)</f>
        <v>0</v>
      </c>
      <c r="J37" s="104">
        <f>SUM(J32:J36)</f>
        <v>0</v>
      </c>
      <c r="L37" s="30" t="str">
        <f t="shared" si="0"/>
        <v/>
      </c>
      <c r="M37" s="151" t="s">
        <v>153</v>
      </c>
      <c r="N37" s="144"/>
      <c r="O37" s="123">
        <f>O9/2/100+0.07</f>
        <v>7.0000000000000007E-2</v>
      </c>
      <c r="Q37" s="150"/>
    </row>
    <row r="38" spans="1:20" ht="15.75" customHeight="1" thickBot="1" x14ac:dyDescent="0.3">
      <c r="A38" s="41" t="s">
        <v>14</v>
      </c>
      <c r="B38" s="42"/>
      <c r="C38" s="256">
        <f>C37</f>
        <v>0</v>
      </c>
      <c r="D38" s="192"/>
      <c r="F38" s="6"/>
      <c r="L38" s="30" t="str">
        <f t="shared" si="0"/>
        <v/>
      </c>
      <c r="M38" s="151" t="s">
        <v>154</v>
      </c>
      <c r="N38" s="144"/>
      <c r="O38" s="123">
        <f>0.0055+0.07</f>
        <v>7.5500000000000012E-2</v>
      </c>
      <c r="R38" s="66" t="s">
        <v>295</v>
      </c>
    </row>
    <row r="39" spans="1:20" x14ac:dyDescent="0.25">
      <c r="F39" s="2"/>
      <c r="G39" s="33"/>
      <c r="H39" s="33"/>
      <c r="I39" s="33"/>
      <c r="J39" s="33"/>
      <c r="L39" s="30" t="str">
        <f t="shared" si="0"/>
        <v/>
      </c>
      <c r="M39" s="151" t="s">
        <v>155</v>
      </c>
      <c r="N39" s="144"/>
      <c r="O39" s="123">
        <f>IF(O15=1,0.02025,0.01525)</f>
        <v>1.525E-2</v>
      </c>
    </row>
    <row r="40" spans="1:20" x14ac:dyDescent="0.25">
      <c r="F40" s="2"/>
      <c r="G40" s="1"/>
      <c r="L40" s="30" t="str">
        <f t="shared" si="0"/>
        <v/>
      </c>
      <c r="M40" s="151" t="s">
        <v>156</v>
      </c>
      <c r="N40" s="144"/>
      <c r="O40" s="123">
        <f>IF(O15=1,0.01025,0.01525)</f>
        <v>1.525E-2</v>
      </c>
      <c r="R40" s="66" t="s">
        <v>296</v>
      </c>
      <c r="S40" s="66" t="s">
        <v>7</v>
      </c>
    </row>
    <row r="41" spans="1:20" x14ac:dyDescent="0.25">
      <c r="L41" s="30" t="str">
        <f t="shared" si="0"/>
        <v/>
      </c>
      <c r="M41" s="151" t="s">
        <v>155</v>
      </c>
      <c r="N41" s="144"/>
      <c r="O41" s="123">
        <f>IF(O16=1,O39+0.0025,O39)</f>
        <v>1.525E-2</v>
      </c>
      <c r="R41" s="144" t="s">
        <v>138</v>
      </c>
      <c r="S41" s="126" t="s">
        <v>262</v>
      </c>
    </row>
    <row r="42" spans="1:20" ht="15" customHeight="1" x14ac:dyDescent="0.25">
      <c r="L42" s="30" t="str">
        <f t="shared" si="0"/>
        <v/>
      </c>
      <c r="M42" s="151" t="s">
        <v>157</v>
      </c>
      <c r="N42" s="144"/>
      <c r="O42" s="118">
        <v>10898</v>
      </c>
      <c r="R42" s="144" t="s">
        <v>140</v>
      </c>
      <c r="S42" s="126" t="s">
        <v>263</v>
      </c>
    </row>
    <row r="43" spans="1:20" ht="15" customHeight="1" x14ac:dyDescent="0.25">
      <c r="L43" s="30" t="str">
        <f t="shared" si="0"/>
        <v/>
      </c>
      <c r="M43" s="151" t="s">
        <v>158</v>
      </c>
      <c r="N43" s="144"/>
      <c r="O43" s="118">
        <v>28526</v>
      </c>
      <c r="R43" s="30" t="s">
        <v>230</v>
      </c>
      <c r="S43" s="158" t="s">
        <v>261</v>
      </c>
    </row>
    <row r="44" spans="1:20" x14ac:dyDescent="0.25">
      <c r="L44" s="30" t="str">
        <f t="shared" si="0"/>
        <v/>
      </c>
      <c r="M44" s="151" t="s">
        <v>159</v>
      </c>
      <c r="N44" s="144"/>
      <c r="O44" s="118">
        <v>216400</v>
      </c>
      <c r="R44" s="30" t="s">
        <v>235</v>
      </c>
      <c r="S44" s="158" t="s">
        <v>260</v>
      </c>
    </row>
    <row r="45" spans="1:20" x14ac:dyDescent="0.25">
      <c r="L45" s="30" t="str">
        <f t="shared" si="0"/>
        <v/>
      </c>
      <c r="M45" s="151" t="s">
        <v>160</v>
      </c>
      <c r="N45" s="144"/>
      <c r="O45" s="118">
        <v>9408</v>
      </c>
      <c r="R45" s="30" t="s">
        <v>236</v>
      </c>
      <c r="S45" s="146" t="s">
        <v>259</v>
      </c>
    </row>
    <row r="46" spans="1:20" x14ac:dyDescent="0.25">
      <c r="L46" s="30" t="str">
        <f t="shared" si="0"/>
        <v/>
      </c>
      <c r="M46" s="151" t="s">
        <v>161</v>
      </c>
      <c r="N46" s="144"/>
      <c r="O46" s="118">
        <v>972</v>
      </c>
    </row>
    <row r="47" spans="1:20" x14ac:dyDescent="0.25">
      <c r="L47" s="30" t="str">
        <f t="shared" si="0"/>
        <v/>
      </c>
      <c r="M47" s="151"/>
      <c r="N47" s="144"/>
      <c r="O47" s="118"/>
    </row>
    <row r="48" spans="1:20" x14ac:dyDescent="0.25">
      <c r="L48" s="30" t="str">
        <f t="shared" si="0"/>
        <v/>
      </c>
      <c r="M48" s="153" t="s">
        <v>162</v>
      </c>
      <c r="N48" s="144"/>
      <c r="O48" s="118"/>
    </row>
    <row r="49" spans="1:15" x14ac:dyDescent="0.25">
      <c r="L49" s="30" t="str">
        <f t="shared" si="0"/>
        <v/>
      </c>
      <c r="M49" s="151" t="s">
        <v>163</v>
      </c>
      <c r="N49" s="144"/>
      <c r="O49" s="120">
        <f>IF(O10=1,O18/100,IF(O10=2,O18*12/100,IF(O10=3,O18*360/7/100,O18*360/100)))</f>
        <v>0</v>
      </c>
    </row>
    <row r="50" spans="1:15" x14ac:dyDescent="0.25">
      <c r="L50" s="30" t="str">
        <f t="shared" si="0"/>
        <v/>
      </c>
      <c r="M50" s="151" t="s">
        <v>164</v>
      </c>
      <c r="N50" s="144"/>
      <c r="O50" s="120">
        <f>IF(O10=1,O21/100,IF(O10=2,O21*12/100,IF(O10=3,O21*360/7/100,O21*360/100)))</f>
        <v>0</v>
      </c>
    </row>
    <row r="51" spans="1:15" x14ac:dyDescent="0.25">
      <c r="L51" s="30" t="str">
        <f t="shared" si="0"/>
        <v/>
      </c>
      <c r="M51" s="151" t="s">
        <v>165</v>
      </c>
      <c r="N51" s="144"/>
      <c r="O51" s="120">
        <f>IF(O10=1,O11/100,IF(O10=2,O11*12/100,IF(O10=3,O11*360/7/100,O11*360/100)))</f>
        <v>0</v>
      </c>
    </row>
    <row r="52" spans="1:15" x14ac:dyDescent="0.25">
      <c r="L52" s="30" t="str">
        <f t="shared" si="0"/>
        <v/>
      </c>
      <c r="M52" s="151" t="s">
        <v>166</v>
      </c>
      <c r="N52" s="144"/>
      <c r="O52" s="120">
        <f>IF(O10=1,O12/100,IF(O10=2,O12*12/100,IF(O10=3,O12*360/7/100,O12*360/100)))</f>
        <v>0</v>
      </c>
    </row>
    <row r="53" spans="1:15" x14ac:dyDescent="0.25">
      <c r="L53" s="30" t="str">
        <f t="shared" si="0"/>
        <v/>
      </c>
      <c r="M53" s="151" t="s">
        <v>127</v>
      </c>
      <c r="N53" s="144"/>
      <c r="O53" s="119">
        <f>IF(O4=0,1,O7)</f>
        <v>1</v>
      </c>
    </row>
    <row r="54" spans="1:15" x14ac:dyDescent="0.25">
      <c r="L54" s="30" t="str">
        <f t="shared" si="0"/>
        <v/>
      </c>
      <c r="M54" s="151"/>
      <c r="N54" s="144"/>
      <c r="O54" s="118"/>
    </row>
    <row r="55" spans="1:15" x14ac:dyDescent="0.25">
      <c r="F55" s="2"/>
      <c r="L55" s="30" t="str">
        <f t="shared" si="0"/>
        <v/>
      </c>
      <c r="M55" s="153" t="s">
        <v>167</v>
      </c>
      <c r="N55" s="144"/>
      <c r="O55" s="118"/>
    </row>
    <row r="56" spans="1:15" x14ac:dyDescent="0.25">
      <c r="F56" s="2"/>
      <c r="G56" s="2"/>
      <c r="L56" s="30" t="str">
        <f t="shared" si="0"/>
        <v/>
      </c>
      <c r="M56" s="151" t="s">
        <v>168</v>
      </c>
      <c r="N56" s="144"/>
      <c r="O56" s="118">
        <f>IF(O50=0,0,IF(O24&lt;2006,1,IF(O24&lt;2040,O24-2004,36)))</f>
        <v>0</v>
      </c>
    </row>
    <row r="57" spans="1:15" x14ac:dyDescent="0.25">
      <c r="F57" s="2"/>
      <c r="L57" s="30" t="str">
        <f t="shared" si="0"/>
        <v/>
      </c>
      <c r="M57" s="151" t="s">
        <v>169</v>
      </c>
      <c r="N57" s="144"/>
      <c r="O57" s="119">
        <f>IF(O50=0,0,0.4-(O56-1)*0.016+IF(O56&gt;16,(O56-16)*0.008,0))</f>
        <v>0</v>
      </c>
    </row>
    <row r="58" spans="1:15" x14ac:dyDescent="0.25">
      <c r="F58" s="2"/>
      <c r="L58" s="30" t="str">
        <f t="shared" si="0"/>
        <v/>
      </c>
      <c r="M58" s="151" t="s">
        <v>170</v>
      </c>
      <c r="N58" s="144"/>
      <c r="O58" s="118">
        <f>IF(O50=0,0,3000-(O56-1)*120+IF(O56&gt;16,(O56-16)*60,0))</f>
        <v>0</v>
      </c>
    </row>
    <row r="59" spans="1:15" x14ac:dyDescent="0.25">
      <c r="F59" s="2"/>
      <c r="L59" s="30" t="str">
        <f t="shared" si="0"/>
        <v/>
      </c>
      <c r="M59" s="151" t="s">
        <v>171</v>
      </c>
      <c r="N59" s="144"/>
      <c r="O59" s="118">
        <f>IF(O50=0,0,900-(O56-1)*36+IF(O56&gt;16,(O56-16)*18,0))</f>
        <v>0</v>
      </c>
    </row>
    <row r="60" spans="1:15" x14ac:dyDescent="0.25">
      <c r="A60" s="2"/>
      <c r="B60" s="2"/>
      <c r="C60" s="2"/>
      <c r="D60" s="2"/>
      <c r="E60" s="2"/>
      <c r="F60" s="2"/>
      <c r="L60" s="30" t="str">
        <f t="shared" si="0"/>
        <v/>
      </c>
      <c r="M60" s="151" t="s">
        <v>172</v>
      </c>
      <c r="N60" s="144"/>
      <c r="O60" s="118">
        <f>IF(O50=0,0,IF(O10&lt;&gt;1,O22*12+O23,O22*O26+O23))</f>
        <v>0</v>
      </c>
    </row>
    <row r="61" spans="1:15" x14ac:dyDescent="0.25">
      <c r="A61" s="2"/>
      <c r="B61" s="2"/>
      <c r="C61" s="2"/>
      <c r="D61" s="2"/>
      <c r="E61" s="2"/>
      <c r="F61" s="2"/>
      <c r="L61" s="30" t="str">
        <f t="shared" si="0"/>
        <v/>
      </c>
      <c r="M61" s="151" t="s">
        <v>173</v>
      </c>
      <c r="N61" s="144"/>
      <c r="O61" s="118">
        <f>IF(O50=0,0,IF(O10&lt;&gt;1,O58,O58/12*O26))</f>
        <v>0</v>
      </c>
    </row>
    <row r="62" spans="1:15" x14ac:dyDescent="0.25">
      <c r="A62" s="2"/>
      <c r="B62" s="2"/>
      <c r="C62" s="2"/>
      <c r="D62" s="2"/>
      <c r="E62" s="2"/>
      <c r="F62" s="2"/>
      <c r="L62" s="30" t="str">
        <f t="shared" si="0"/>
        <v/>
      </c>
      <c r="M62" s="151" t="s">
        <v>174</v>
      </c>
      <c r="N62" s="144"/>
      <c r="O62" s="118">
        <f>IF(O50=0,0,IF(O10&lt;&gt;1,O59,ROUNDUP(O59/12*O26,0)))</f>
        <v>0</v>
      </c>
    </row>
    <row r="63" spans="1:15" x14ac:dyDescent="0.25">
      <c r="L63" s="30" t="str">
        <f t="shared" si="0"/>
        <v/>
      </c>
      <c r="M63" s="151" t="s">
        <v>175</v>
      </c>
      <c r="N63" s="144"/>
      <c r="O63" s="120">
        <f>IF(O50=0,0,ROUNDUP(O60*O57/100,2))</f>
        <v>0</v>
      </c>
    </row>
    <row r="64" spans="1:15" x14ac:dyDescent="0.25">
      <c r="L64" s="30" t="str">
        <f t="shared" si="0"/>
        <v/>
      </c>
      <c r="M64" s="151" t="s">
        <v>175</v>
      </c>
      <c r="N64" s="144"/>
      <c r="O64" s="120">
        <f>IF(O63&gt;O61,O61,O63)</f>
        <v>0</v>
      </c>
    </row>
    <row r="65" spans="12:15" x14ac:dyDescent="0.25">
      <c r="L65" s="30" t="str">
        <f t="shared" si="0"/>
        <v/>
      </c>
      <c r="M65" s="151" t="s">
        <v>176</v>
      </c>
      <c r="N65" s="144"/>
      <c r="O65" s="120">
        <f>O60/100-O64</f>
        <v>0</v>
      </c>
    </row>
    <row r="66" spans="12:15" x14ac:dyDescent="0.25">
      <c r="L66" s="30" t="str">
        <f t="shared" si="0"/>
        <v/>
      </c>
      <c r="M66" s="151" t="s">
        <v>174</v>
      </c>
      <c r="N66" s="144"/>
      <c r="O66" s="118">
        <f>IF(O62&gt;O65,ROUNDUP(O65,0),O62)</f>
        <v>0</v>
      </c>
    </row>
    <row r="67" spans="12:15" x14ac:dyDescent="0.25">
      <c r="L67" s="30" t="str">
        <f t="shared" si="0"/>
        <v/>
      </c>
      <c r="M67" s="151"/>
      <c r="N67" s="144"/>
      <c r="O67" s="118"/>
    </row>
    <row r="68" spans="12:15" x14ac:dyDescent="0.25">
      <c r="L68" s="30" t="str">
        <f t="shared" si="0"/>
        <v/>
      </c>
      <c r="M68" s="153" t="s">
        <v>177</v>
      </c>
      <c r="N68" s="144"/>
      <c r="O68" s="118"/>
    </row>
    <row r="69" spans="12:15" x14ac:dyDescent="0.25">
      <c r="L69" s="30" t="str">
        <f t="shared" ref="L69:L132" si="2">IF(M69=$R$41,$S$41,IF(M69=$R$42,$S$42,IF(M69=$R$43,$S$43,IF(M69=$R$44,$S$44,IF(M69=$R$45,$S$45,"")))))</f>
        <v/>
      </c>
      <c r="M69" s="151" t="s">
        <v>178</v>
      </c>
      <c r="N69" s="144"/>
      <c r="O69" s="118">
        <f>IF(O6=0,0,IF(O5&lt;2006,1,IF(O5&lt;2040,O5-2004,36)))</f>
        <v>0</v>
      </c>
    </row>
    <row r="70" spans="12:15" x14ac:dyDescent="0.25">
      <c r="L70" s="30" t="str">
        <f t="shared" si="2"/>
        <v/>
      </c>
      <c r="M70" s="144" t="s">
        <v>179</v>
      </c>
      <c r="N70" s="144"/>
      <c r="O70" s="119">
        <f>IF(O6=0,0,0.4-(O69-1)*0.016+IF(O69&gt;16,(O69-16)*0.008,0))</f>
        <v>0</v>
      </c>
    </row>
    <row r="71" spans="12:15" x14ac:dyDescent="0.25">
      <c r="L71" s="30" t="str">
        <f t="shared" si="2"/>
        <v/>
      </c>
      <c r="M71" s="144" t="s">
        <v>180</v>
      </c>
      <c r="N71" s="144"/>
      <c r="O71" s="118">
        <f>IF(O6=0,0,1900-(O69-1)*76+IF(O69&gt;16,(O69-16)*38,0))</f>
        <v>0</v>
      </c>
    </row>
    <row r="72" spans="12:15" x14ac:dyDescent="0.25">
      <c r="L72" s="30" t="str">
        <f t="shared" si="2"/>
        <v/>
      </c>
      <c r="M72" s="144" t="s">
        <v>181</v>
      </c>
      <c r="N72" s="144"/>
      <c r="O72" s="120">
        <f>IF(O6=0,0,O49-O50)</f>
        <v>0</v>
      </c>
    </row>
    <row r="73" spans="12:15" x14ac:dyDescent="0.25">
      <c r="L73" s="30" t="str">
        <f t="shared" si="2"/>
        <v/>
      </c>
      <c r="M73" s="144" t="s">
        <v>182</v>
      </c>
      <c r="N73" s="144"/>
      <c r="O73" s="120">
        <f>IF(O6=0,0,ROUNDUP(O72*O70,2))</f>
        <v>0</v>
      </c>
    </row>
    <row r="74" spans="12:15" x14ac:dyDescent="0.25">
      <c r="L74" s="30" t="str">
        <f t="shared" si="2"/>
        <v/>
      </c>
      <c r="M74" s="152" t="s">
        <v>183</v>
      </c>
      <c r="N74" s="144"/>
      <c r="O74" s="118">
        <f>O71</f>
        <v>0</v>
      </c>
    </row>
    <row r="75" spans="12:15" x14ac:dyDescent="0.25">
      <c r="L75" s="30" t="str">
        <f t="shared" si="2"/>
        <v/>
      </c>
      <c r="M75" s="152" t="s">
        <v>182</v>
      </c>
      <c r="N75" s="144"/>
      <c r="O75" s="120">
        <f>IF(O73&gt;O74,O74,O73)</f>
        <v>0</v>
      </c>
    </row>
    <row r="76" spans="12:15" x14ac:dyDescent="0.25">
      <c r="L76" s="30" t="str">
        <f t="shared" si="2"/>
        <v/>
      </c>
      <c r="M76" s="151"/>
      <c r="N76" s="144"/>
      <c r="O76" s="118"/>
    </row>
    <row r="77" spans="12:15" x14ac:dyDescent="0.25">
      <c r="L77" s="30" t="str">
        <f t="shared" si="2"/>
        <v/>
      </c>
      <c r="M77" s="153" t="s">
        <v>184</v>
      </c>
      <c r="N77" s="144"/>
      <c r="O77" s="118"/>
    </row>
    <row r="78" spans="12:15" x14ac:dyDescent="0.25">
      <c r="L78" s="30" t="str">
        <f t="shared" si="2"/>
        <v/>
      </c>
      <c r="M78" s="151" t="s">
        <v>185</v>
      </c>
      <c r="N78" s="144"/>
      <c r="O78" s="120">
        <f>O49-O64-O75-O51+O52</f>
        <v>0</v>
      </c>
    </row>
    <row r="79" spans="12:15" x14ac:dyDescent="0.25">
      <c r="L79" s="30" t="str">
        <f t="shared" si="2"/>
        <v/>
      </c>
      <c r="M79" s="151" t="s">
        <v>185</v>
      </c>
      <c r="N79" s="144"/>
      <c r="O79" s="120">
        <f>IF(O78&lt;0,0,O78)</f>
        <v>0</v>
      </c>
    </row>
    <row r="80" spans="12:15" x14ac:dyDescent="0.25">
      <c r="L80" s="30" t="str">
        <f t="shared" si="2"/>
        <v/>
      </c>
      <c r="M80" s="151" t="s">
        <v>186</v>
      </c>
      <c r="N80" s="144"/>
      <c r="O80" s="120">
        <f>O49</f>
        <v>0</v>
      </c>
    </row>
    <row r="81" spans="12:15" x14ac:dyDescent="0.25">
      <c r="L81" s="30" t="str">
        <f t="shared" si="2"/>
        <v/>
      </c>
      <c r="M81" s="151" t="s">
        <v>187</v>
      </c>
      <c r="N81" s="144"/>
      <c r="O81" s="120">
        <f>O50-O64</f>
        <v>0</v>
      </c>
    </row>
    <row r="82" spans="12:15" x14ac:dyDescent="0.25">
      <c r="L82" s="30" t="str">
        <f t="shared" si="2"/>
        <v/>
      </c>
      <c r="M82" s="151" t="s">
        <v>187</v>
      </c>
      <c r="N82" s="144"/>
      <c r="O82" s="120">
        <f>IF(O81&lt;0,0,O81)</f>
        <v>0</v>
      </c>
    </row>
    <row r="83" spans="12:15" x14ac:dyDescent="0.25">
      <c r="L83" s="30" t="str">
        <f t="shared" si="2"/>
        <v/>
      </c>
      <c r="M83" s="151"/>
      <c r="N83" s="144"/>
      <c r="O83" s="118"/>
    </row>
    <row r="84" spans="12:15" x14ac:dyDescent="0.25">
      <c r="L84" s="30" t="str">
        <f t="shared" si="2"/>
        <v/>
      </c>
      <c r="M84" s="153" t="s">
        <v>257</v>
      </c>
      <c r="N84" s="144"/>
      <c r="O84" s="118"/>
    </row>
    <row r="85" spans="12:15" x14ac:dyDescent="0.25">
      <c r="L85" s="30" t="str">
        <f t="shared" si="2"/>
        <v/>
      </c>
      <c r="M85" s="151"/>
      <c r="N85" s="144"/>
      <c r="O85" s="118"/>
    </row>
    <row r="86" spans="12:15" x14ac:dyDescent="0.25">
      <c r="L86" s="30" t="str">
        <f t="shared" si="2"/>
        <v/>
      </c>
      <c r="M86" s="153" t="s">
        <v>188</v>
      </c>
      <c r="N86" s="144"/>
      <c r="O86" s="118"/>
    </row>
    <row r="87" spans="12:15" x14ac:dyDescent="0.25">
      <c r="L87" s="30" t="str">
        <f t="shared" si="2"/>
        <v/>
      </c>
      <c r="M87" s="144" t="s">
        <v>189</v>
      </c>
      <c r="N87" s="144"/>
      <c r="O87" s="118">
        <f>IF(O20=3,2,1)</f>
        <v>1</v>
      </c>
    </row>
    <row r="88" spans="12:15" x14ac:dyDescent="0.25">
      <c r="L88" s="30" t="str">
        <f t="shared" si="2"/>
        <v/>
      </c>
      <c r="M88" s="152" t="s">
        <v>190</v>
      </c>
      <c r="N88" s="144"/>
      <c r="O88" s="118">
        <f>IF(O20&gt;5,0,IF(O82=0,0,IF(O82-IF(O82&lt;O66,O82,O66)&lt;102,O82-IF(O82&lt;O66,O82,O66),102)))+IF(O20&gt;5,0,IF(O79=O82,0,IF(O79-O82&lt;1000,O79-O82,1000)))</f>
        <v>0</v>
      </c>
    </row>
    <row r="89" spans="12:15" x14ac:dyDescent="0.25">
      <c r="L89" s="30" t="str">
        <f t="shared" si="2"/>
        <v/>
      </c>
      <c r="M89" s="144" t="s">
        <v>191</v>
      </c>
      <c r="N89" s="144"/>
      <c r="O89" s="118">
        <f>IF(O20=2,1908,0)</f>
        <v>0</v>
      </c>
    </row>
    <row r="90" spans="12:15" x14ac:dyDescent="0.25">
      <c r="L90" s="30" t="str">
        <f t="shared" si="2"/>
        <v/>
      </c>
      <c r="M90" s="144" t="s">
        <v>192</v>
      </c>
      <c r="N90" s="144"/>
      <c r="O90" s="118">
        <f>IF(O20&gt;5,0,36)</f>
        <v>36</v>
      </c>
    </row>
    <row r="91" spans="12:15" x14ac:dyDescent="0.25">
      <c r="L91" s="30" t="str">
        <f t="shared" si="2"/>
        <v/>
      </c>
      <c r="M91" s="144" t="s">
        <v>193</v>
      </c>
      <c r="N91" s="144"/>
      <c r="O91" s="118">
        <f>IF(O20&lt;4,O25*7812,IF(O20=4,O25*3906,0))</f>
        <v>0</v>
      </c>
    </row>
    <row r="92" spans="12:15" x14ac:dyDescent="0.25">
      <c r="L92" s="30" t="str">
        <f t="shared" si="2"/>
        <v/>
      </c>
      <c r="M92" s="152" t="s">
        <v>194</v>
      </c>
      <c r="N92" s="144"/>
      <c r="O92" s="118">
        <f>O89+O88+O90+IF(O82&lt;O66,O82,O66)</f>
        <v>36</v>
      </c>
    </row>
    <row r="93" spans="12:15" x14ac:dyDescent="0.25">
      <c r="L93" s="30" t="str">
        <f t="shared" si="2"/>
        <v/>
      </c>
      <c r="M93" s="152"/>
      <c r="N93" s="144"/>
      <c r="O93" s="120"/>
    </row>
    <row r="94" spans="12:15" x14ac:dyDescent="0.25">
      <c r="L94" s="30" t="str">
        <f t="shared" si="2"/>
        <v/>
      </c>
      <c r="M94" s="153" t="s">
        <v>195</v>
      </c>
      <c r="N94" s="144"/>
      <c r="O94" s="120"/>
    </row>
    <row r="95" spans="12:15" x14ac:dyDescent="0.25">
      <c r="L95" s="30" t="str">
        <f t="shared" si="2"/>
        <v/>
      </c>
      <c r="M95" s="151"/>
      <c r="N95" s="144"/>
      <c r="O95" s="120"/>
    </row>
    <row r="96" spans="12:15" x14ac:dyDescent="0.25">
      <c r="L96" s="30" t="str">
        <f t="shared" si="2"/>
        <v/>
      </c>
      <c r="M96" s="153" t="s">
        <v>196</v>
      </c>
      <c r="N96" s="144"/>
      <c r="O96" s="120"/>
    </row>
    <row r="97" spans="12:15" x14ac:dyDescent="0.25">
      <c r="L97" s="30" t="str">
        <f t="shared" si="2"/>
        <v/>
      </c>
      <c r="M97" s="151" t="s">
        <v>197</v>
      </c>
      <c r="N97" s="144"/>
      <c r="O97" s="120">
        <v>0</v>
      </c>
    </row>
    <row r="98" spans="12:15" x14ac:dyDescent="0.25">
      <c r="L98" s="30" t="str">
        <f t="shared" si="2"/>
        <v/>
      </c>
      <c r="M98" s="144" t="s">
        <v>186</v>
      </c>
      <c r="N98" s="144"/>
      <c r="O98" s="120">
        <f>IF(O80&gt;O33,O33,O80)</f>
        <v>0</v>
      </c>
    </row>
    <row r="99" spans="12:15" x14ac:dyDescent="0.25">
      <c r="L99" s="30" t="str">
        <f t="shared" si="2"/>
        <v/>
      </c>
      <c r="M99" s="144" t="s">
        <v>197</v>
      </c>
      <c r="N99" s="144"/>
      <c r="O99" s="120">
        <f>TRUNC((O35*O98)*O34,2)</f>
        <v>0</v>
      </c>
    </row>
    <row r="100" spans="12:15" x14ac:dyDescent="0.25">
      <c r="L100" s="30" t="str">
        <f t="shared" si="2"/>
        <v/>
      </c>
      <c r="M100" s="151" t="s">
        <v>197</v>
      </c>
      <c r="N100" s="144"/>
      <c r="O100" s="120">
        <f>IF(O8&gt;1,O97,O99)</f>
        <v>0</v>
      </c>
    </row>
    <row r="101" spans="12:15" x14ac:dyDescent="0.25">
      <c r="L101" s="30" t="str">
        <f t="shared" si="2"/>
        <v/>
      </c>
      <c r="M101" s="151" t="s">
        <v>198</v>
      </c>
      <c r="N101" s="144"/>
      <c r="O101" s="120">
        <f>TRUNC(0.12*O98,2)</f>
        <v>0</v>
      </c>
    </row>
    <row r="102" spans="12:15" x14ac:dyDescent="0.25">
      <c r="L102" s="30" t="str">
        <f t="shared" si="2"/>
        <v/>
      </c>
      <c r="M102" s="151" t="s">
        <v>199</v>
      </c>
      <c r="N102" s="144"/>
      <c r="O102" s="120">
        <f>IF(O20=3,3000,1900)</f>
        <v>1900</v>
      </c>
    </row>
    <row r="103" spans="12:15" x14ac:dyDescent="0.25">
      <c r="L103" s="30" t="str">
        <f t="shared" si="2"/>
        <v/>
      </c>
      <c r="M103" s="151" t="s">
        <v>198</v>
      </c>
      <c r="N103" s="144"/>
      <c r="O103" s="120">
        <f>IF(O101&gt;O102,O102,O101)</f>
        <v>0</v>
      </c>
    </row>
    <row r="104" spans="12:15" x14ac:dyDescent="0.25">
      <c r="L104" s="30" t="str">
        <f t="shared" si="2"/>
        <v/>
      </c>
      <c r="M104" s="151" t="s">
        <v>200</v>
      </c>
      <c r="N104" s="144"/>
      <c r="O104" s="118">
        <f>ROUNDUP(O100+O103,0)</f>
        <v>0</v>
      </c>
    </row>
    <row r="105" spans="12:15" x14ac:dyDescent="0.25">
      <c r="L105" s="30" t="str">
        <f t="shared" si="2"/>
        <v/>
      </c>
      <c r="M105" s="151"/>
      <c r="N105" s="144"/>
      <c r="O105" s="120"/>
    </row>
    <row r="106" spans="12:15" x14ac:dyDescent="0.25">
      <c r="L106" s="30" t="str">
        <f t="shared" si="2"/>
        <v/>
      </c>
      <c r="M106" s="154" t="s">
        <v>201</v>
      </c>
      <c r="N106" s="144"/>
      <c r="O106" s="120"/>
    </row>
    <row r="107" spans="12:15" x14ac:dyDescent="0.25">
      <c r="L107" s="30" t="str">
        <f t="shared" si="2"/>
        <v/>
      </c>
      <c r="M107" s="144" t="s">
        <v>186</v>
      </c>
      <c r="N107" s="144"/>
      <c r="O107" s="120">
        <f>IF(O98&gt;O36,O36,O98)</f>
        <v>0</v>
      </c>
    </row>
    <row r="108" spans="12:15" x14ac:dyDescent="0.25">
      <c r="L108" s="30" t="str">
        <f t="shared" si="2"/>
        <v/>
      </c>
      <c r="M108" s="151" t="s">
        <v>202</v>
      </c>
      <c r="N108" s="144"/>
      <c r="O108" s="120">
        <f>TRUNC(O107*(O37+O41),2)</f>
        <v>0</v>
      </c>
    </row>
    <row r="109" spans="12:15" x14ac:dyDescent="0.25">
      <c r="L109" s="30" t="str">
        <f t="shared" si="2"/>
        <v/>
      </c>
      <c r="M109" s="151" t="s">
        <v>203</v>
      </c>
      <c r="N109" s="144"/>
      <c r="O109" s="120">
        <v>0</v>
      </c>
    </row>
    <row r="110" spans="12:15" x14ac:dyDescent="0.25">
      <c r="L110" s="30" t="str">
        <f t="shared" si="2"/>
        <v/>
      </c>
      <c r="M110" s="151" t="s">
        <v>204</v>
      </c>
      <c r="N110" s="144"/>
      <c r="O110" s="120">
        <f>O13*12/100</f>
        <v>0</v>
      </c>
    </row>
    <row r="111" spans="12:15" x14ac:dyDescent="0.25">
      <c r="L111" s="30" t="str">
        <f t="shared" si="2"/>
        <v/>
      </c>
      <c r="M111" s="151" t="s">
        <v>205</v>
      </c>
      <c r="N111" s="144"/>
      <c r="O111" s="120">
        <f>O110-TRUNC(O107*(O38+O40),2)</f>
        <v>0</v>
      </c>
    </row>
    <row r="112" spans="12:15" x14ac:dyDescent="0.25">
      <c r="L112" s="30" t="str">
        <f t="shared" si="2"/>
        <v/>
      </c>
      <c r="M112" s="151" t="s">
        <v>206</v>
      </c>
      <c r="N112" s="144"/>
      <c r="O112" s="120">
        <f>IF(O14=0,O108,IF(AND(O14&gt;0,O20=6),O109,IF(O14=1,O110,O111)))</f>
        <v>0</v>
      </c>
    </row>
    <row r="113" spans="12:15" x14ac:dyDescent="0.25">
      <c r="L113" s="30" t="str">
        <f t="shared" si="2"/>
        <v/>
      </c>
      <c r="M113" s="155" t="s">
        <v>207</v>
      </c>
      <c r="N113" s="144"/>
      <c r="O113" s="120">
        <f>ROUNDUP(O112+O100,0)</f>
        <v>0</v>
      </c>
    </row>
    <row r="114" spans="12:15" x14ac:dyDescent="0.25">
      <c r="L114" s="30" t="str">
        <f t="shared" si="2"/>
        <v/>
      </c>
      <c r="M114" s="155"/>
      <c r="N114" s="144"/>
      <c r="O114" s="120"/>
    </row>
    <row r="115" spans="12:15" x14ac:dyDescent="0.25">
      <c r="L115" s="30" t="str">
        <f t="shared" si="2"/>
        <v/>
      </c>
      <c r="M115" s="153" t="s">
        <v>196</v>
      </c>
      <c r="N115" s="144"/>
      <c r="O115" s="120"/>
    </row>
    <row r="116" spans="12:15" x14ac:dyDescent="0.25">
      <c r="L116" s="30" t="str">
        <f t="shared" si="2"/>
        <v/>
      </c>
      <c r="M116" s="155" t="s">
        <v>207</v>
      </c>
      <c r="N116" s="144"/>
      <c r="O116" s="118">
        <f>IF(O104&gt;O113,O104,O113)</f>
        <v>0</v>
      </c>
    </row>
    <row r="117" spans="12:15" x14ac:dyDescent="0.25">
      <c r="L117" s="30" t="str">
        <f t="shared" si="2"/>
        <v/>
      </c>
      <c r="M117" s="155"/>
      <c r="N117" s="144"/>
      <c r="O117" s="120"/>
    </row>
    <row r="118" spans="12:15" x14ac:dyDescent="0.25">
      <c r="L118" s="30" t="str">
        <f t="shared" si="2"/>
        <v/>
      </c>
      <c r="M118" s="153" t="s">
        <v>195</v>
      </c>
      <c r="N118" s="144"/>
      <c r="O118" s="120"/>
    </row>
    <row r="119" spans="12:15" x14ac:dyDescent="0.25">
      <c r="L119" s="30" t="str">
        <f t="shared" si="2"/>
        <v/>
      </c>
      <c r="M119" s="144" t="s">
        <v>208</v>
      </c>
      <c r="N119" s="144"/>
      <c r="O119" s="120">
        <f>O79-O92-O116</f>
        <v>-36</v>
      </c>
    </row>
    <row r="120" spans="12:15" x14ac:dyDescent="0.25">
      <c r="L120" s="30" t="str">
        <f t="shared" si="2"/>
        <v/>
      </c>
      <c r="M120" s="144"/>
      <c r="N120" s="144"/>
      <c r="O120" s="120"/>
    </row>
    <row r="121" spans="12:15" x14ac:dyDescent="0.25">
      <c r="L121" s="30" t="str">
        <f t="shared" si="2"/>
        <v/>
      </c>
      <c r="M121" s="153" t="s">
        <v>209</v>
      </c>
      <c r="N121" s="144"/>
      <c r="O121" s="118"/>
    </row>
    <row r="122" spans="12:15" x14ac:dyDescent="0.25">
      <c r="L122" s="30" t="str">
        <f t="shared" si="2"/>
        <v/>
      </c>
      <c r="M122" s="144" t="s">
        <v>210</v>
      </c>
      <c r="N122" s="144"/>
      <c r="O122" s="118">
        <f>IF(O119&lt;1,0,ROUNDDOWN(O119/O87,0))</f>
        <v>0</v>
      </c>
    </row>
    <row r="123" spans="12:15" x14ac:dyDescent="0.25">
      <c r="L123" s="30" t="str">
        <f t="shared" si="2"/>
        <v/>
      </c>
      <c r="M123" s="144"/>
      <c r="N123" s="144"/>
      <c r="O123" s="118"/>
    </row>
    <row r="124" spans="12:15" x14ac:dyDescent="0.25">
      <c r="L124" s="30" t="str">
        <f t="shared" si="2"/>
        <v/>
      </c>
      <c r="M124" s="153" t="s">
        <v>258</v>
      </c>
      <c r="N124" s="144"/>
      <c r="O124" s="124"/>
    </row>
    <row r="125" spans="12:15" x14ac:dyDescent="0.25">
      <c r="L125" s="30" t="str">
        <f t="shared" si="2"/>
        <v/>
      </c>
      <c r="M125" s="144" t="s">
        <v>211</v>
      </c>
      <c r="N125" s="144"/>
      <c r="O125" s="118">
        <v>0</v>
      </c>
    </row>
    <row r="126" spans="12:15" x14ac:dyDescent="0.25">
      <c r="L126" s="30" t="str">
        <f t="shared" si="2"/>
        <v/>
      </c>
      <c r="M126" s="144" t="s">
        <v>212</v>
      </c>
      <c r="N126" s="144"/>
      <c r="O126" s="118">
        <f>IF(O20&gt;4,0,TRUNC((O122-O45)/10000,6))</f>
        <v>-0.94079999999999997</v>
      </c>
    </row>
    <row r="127" spans="12:15" x14ac:dyDescent="0.25">
      <c r="L127" s="30" t="str">
        <f t="shared" si="2"/>
        <v/>
      </c>
      <c r="M127" s="144" t="s">
        <v>213</v>
      </c>
      <c r="N127" s="144"/>
      <c r="O127" s="118">
        <f>O126*972.87</f>
        <v>-915.27609599999994</v>
      </c>
    </row>
    <row r="128" spans="12:15" x14ac:dyDescent="0.25">
      <c r="L128" s="30" t="str">
        <f t="shared" si="2"/>
        <v/>
      </c>
      <c r="M128" s="144" t="s">
        <v>213</v>
      </c>
      <c r="N128" s="144"/>
      <c r="O128" s="124">
        <f>IF(O20&gt;4,0,O127+1400)</f>
        <v>484.72390400000006</v>
      </c>
    </row>
    <row r="129" spans="12:15" x14ac:dyDescent="0.25">
      <c r="L129" s="30" t="str">
        <f t="shared" si="2"/>
        <v/>
      </c>
      <c r="M129" s="144" t="s">
        <v>211</v>
      </c>
      <c r="N129" s="144"/>
      <c r="O129" s="118">
        <f>ROUNDDOWN(O128*O126,0)</f>
        <v>-456</v>
      </c>
    </row>
    <row r="130" spans="12:15" x14ac:dyDescent="0.25">
      <c r="L130" s="30" t="str">
        <f t="shared" si="2"/>
        <v/>
      </c>
      <c r="M130" s="144" t="s">
        <v>212</v>
      </c>
      <c r="N130" s="144"/>
      <c r="O130" s="118">
        <f>IF(O20&gt;4,0,TRUNC((O122-14532)/10000,6))</f>
        <v>-1.4532</v>
      </c>
    </row>
    <row r="131" spans="12:15" x14ac:dyDescent="0.25">
      <c r="L131" s="30" t="str">
        <f t="shared" si="2"/>
        <v/>
      </c>
      <c r="M131" s="144" t="s">
        <v>213</v>
      </c>
      <c r="N131" s="144"/>
      <c r="O131" s="118">
        <f>O130*212.02</f>
        <v>-308.10746400000005</v>
      </c>
    </row>
    <row r="132" spans="12:15" x14ac:dyDescent="0.25">
      <c r="L132" s="30" t="str">
        <f t="shared" si="2"/>
        <v/>
      </c>
      <c r="M132" s="144" t="s">
        <v>213</v>
      </c>
      <c r="N132" s="144"/>
      <c r="O132" s="118">
        <f>IF(O20&gt;4,0,O131+2397)</f>
        <v>2088.8925359999998</v>
      </c>
    </row>
    <row r="133" spans="12:15" x14ac:dyDescent="0.25">
      <c r="L133" s="30" t="str">
        <f t="shared" ref="L133:L196" si="3">IF(M133=$R$41,$S$41,IF(M133=$R$42,$S$42,IF(M133=$R$43,$S$43,IF(M133=$R$44,$S$44,IF(M133=$R$45,$S$45,"")))))</f>
        <v/>
      </c>
      <c r="M133" s="144" t="s">
        <v>213</v>
      </c>
      <c r="N133" s="144"/>
      <c r="O133" s="118">
        <f>O132*O130</f>
        <v>-3035.5786333152</v>
      </c>
    </row>
    <row r="134" spans="12:15" x14ac:dyDescent="0.25">
      <c r="L134" s="30" t="str">
        <f t="shared" si="3"/>
        <v/>
      </c>
      <c r="M134" s="144" t="s">
        <v>211</v>
      </c>
      <c r="N134" s="144"/>
      <c r="O134" s="118">
        <f>IF(O20&gt;4,0,ROUNDDOWN(O133+972.79,0))</f>
        <v>-2062</v>
      </c>
    </row>
    <row r="135" spans="12:15" x14ac:dyDescent="0.25">
      <c r="L135" s="30" t="str">
        <f t="shared" si="3"/>
        <v/>
      </c>
      <c r="M135" s="144" t="s">
        <v>211</v>
      </c>
      <c r="N135" s="144"/>
      <c r="O135" s="118">
        <f>IF(O20&gt;4,0,ROUNDDOWN((O122*0.42)-8963.74,0))</f>
        <v>-8963</v>
      </c>
    </row>
    <row r="136" spans="12:15" x14ac:dyDescent="0.25">
      <c r="L136" s="30" t="str">
        <f t="shared" si="3"/>
        <v/>
      </c>
      <c r="M136" s="144" t="s">
        <v>211</v>
      </c>
      <c r="N136" s="144"/>
      <c r="O136" s="118">
        <f>IF(O20&gt;4,0,ROUNDDOWN((O122*0.45)-17078.74,0))</f>
        <v>-17078</v>
      </c>
    </row>
    <row r="137" spans="12:15" x14ac:dyDescent="0.25">
      <c r="L137" s="30" t="str">
        <f t="shared" si="3"/>
        <v/>
      </c>
      <c r="M137" s="144" t="s">
        <v>211</v>
      </c>
      <c r="N137" s="144"/>
      <c r="O137" s="118">
        <f>IF(O122&lt;O45+1,O125,IF(O122&lt;14533,O129*O87,IF(O122&lt;57052,O134*O87,IF(O122&lt;270501,O135*O87,O136*O87))))</f>
        <v>0</v>
      </c>
    </row>
    <row r="138" spans="12:15" x14ac:dyDescent="0.25">
      <c r="L138" s="30" t="str">
        <f t="shared" si="3"/>
        <v/>
      </c>
      <c r="M138" s="144"/>
      <c r="N138" s="144"/>
      <c r="O138" s="125"/>
    </row>
    <row r="139" spans="12:15" x14ac:dyDescent="0.25">
      <c r="L139" s="30" t="str">
        <f t="shared" si="3"/>
        <v/>
      </c>
      <c r="M139" s="153" t="s">
        <v>214</v>
      </c>
      <c r="N139" s="144"/>
      <c r="O139" s="118"/>
    </row>
    <row r="140" spans="12:15" x14ac:dyDescent="0.25">
      <c r="L140" s="30" t="str">
        <f t="shared" si="3"/>
        <v/>
      </c>
      <c r="M140" s="144" t="s">
        <v>215</v>
      </c>
      <c r="N140" s="144"/>
      <c r="O140" s="118">
        <f>IF(O20&gt;4,O122,0)</f>
        <v>0</v>
      </c>
    </row>
    <row r="141" spans="12:15" x14ac:dyDescent="0.25">
      <c r="L141" s="30" t="str">
        <f t="shared" si="3"/>
        <v/>
      </c>
      <c r="M141" s="144" t="s">
        <v>216</v>
      </c>
      <c r="N141" s="144"/>
      <c r="O141" s="118">
        <f>IF(O140&gt;O43,O43,O140)</f>
        <v>0</v>
      </c>
    </row>
    <row r="142" spans="12:15" x14ac:dyDescent="0.25">
      <c r="L142" s="30" t="str">
        <f t="shared" si="3"/>
        <v/>
      </c>
      <c r="M142" s="144"/>
      <c r="N142" s="144"/>
      <c r="O142" s="120"/>
    </row>
    <row r="143" spans="12:15" x14ac:dyDescent="0.25">
      <c r="L143" s="30" t="str">
        <f t="shared" si="3"/>
        <v/>
      </c>
      <c r="M143" s="153" t="s">
        <v>217</v>
      </c>
      <c r="N143" s="144"/>
      <c r="O143" s="118"/>
    </row>
    <row r="144" spans="12:15" x14ac:dyDescent="0.25">
      <c r="L144" s="30" t="str">
        <f t="shared" si="3"/>
        <v/>
      </c>
      <c r="M144" s="144" t="s">
        <v>218</v>
      </c>
      <c r="N144" s="144"/>
      <c r="O144" s="118">
        <f>O141*1.25</f>
        <v>0</v>
      </c>
    </row>
    <row r="145" spans="12:15" x14ac:dyDescent="0.25">
      <c r="L145" s="30" t="str">
        <f t="shared" si="3"/>
        <v/>
      </c>
      <c r="M145" s="144"/>
      <c r="N145" s="144"/>
      <c r="O145" s="118"/>
    </row>
    <row r="146" spans="12:15" x14ac:dyDescent="0.25">
      <c r="L146" s="30" t="str">
        <f t="shared" si="3"/>
        <v/>
      </c>
      <c r="M146" s="153" t="s">
        <v>258</v>
      </c>
      <c r="N146" s="144"/>
      <c r="O146" s="124"/>
    </row>
    <row r="147" spans="12:15" x14ac:dyDescent="0.25">
      <c r="L147" s="30" t="str">
        <f t="shared" si="3"/>
        <v/>
      </c>
      <c r="M147" s="144" t="s">
        <v>211</v>
      </c>
      <c r="N147" s="144"/>
      <c r="O147" s="118">
        <v>0</v>
      </c>
    </row>
    <row r="148" spans="12:15" x14ac:dyDescent="0.25">
      <c r="L148" s="30" t="str">
        <f t="shared" si="3"/>
        <v/>
      </c>
      <c r="M148" s="144" t="s">
        <v>212</v>
      </c>
      <c r="N148" s="144"/>
      <c r="O148" s="118">
        <f>TRUNC((O144-O45)/10000,6)</f>
        <v>-0.94079999999999997</v>
      </c>
    </row>
    <row r="149" spans="12:15" x14ac:dyDescent="0.25">
      <c r="L149" s="30" t="str">
        <f t="shared" si="3"/>
        <v/>
      </c>
      <c r="M149" s="144" t="s">
        <v>213</v>
      </c>
      <c r="N149" s="144"/>
      <c r="O149" s="118">
        <f>O148*972.87</f>
        <v>-915.27609599999994</v>
      </c>
    </row>
    <row r="150" spans="12:15" x14ac:dyDescent="0.25">
      <c r="L150" s="30" t="str">
        <f t="shared" si="3"/>
        <v/>
      </c>
      <c r="M150" s="144" t="s">
        <v>213</v>
      </c>
      <c r="N150" s="144"/>
      <c r="O150" s="124">
        <f>O149+1400</f>
        <v>484.72390400000006</v>
      </c>
    </row>
    <row r="151" spans="12:15" x14ac:dyDescent="0.25">
      <c r="L151" s="30" t="str">
        <f t="shared" si="3"/>
        <v/>
      </c>
      <c r="M151" s="144" t="s">
        <v>211</v>
      </c>
      <c r="N151" s="144"/>
      <c r="O151" s="118">
        <f>ROUNDDOWN(O150*O148,0)</f>
        <v>-456</v>
      </c>
    </row>
    <row r="152" spans="12:15" x14ac:dyDescent="0.25">
      <c r="L152" s="30" t="str">
        <f t="shared" si="3"/>
        <v/>
      </c>
      <c r="M152" s="144" t="s">
        <v>212</v>
      </c>
      <c r="N152" s="144"/>
      <c r="O152" s="118">
        <f>TRUNC((O144-14532)/10000,6)</f>
        <v>-1.4532</v>
      </c>
    </row>
    <row r="153" spans="12:15" x14ac:dyDescent="0.25">
      <c r="L153" s="30" t="str">
        <f t="shared" si="3"/>
        <v/>
      </c>
      <c r="M153" s="144" t="s">
        <v>213</v>
      </c>
      <c r="N153" s="144"/>
      <c r="O153" s="118">
        <f>O152*212.02</f>
        <v>-308.10746400000005</v>
      </c>
    </row>
    <row r="154" spans="12:15" x14ac:dyDescent="0.25">
      <c r="L154" s="30" t="str">
        <f t="shared" si="3"/>
        <v/>
      </c>
      <c r="M154" s="144" t="s">
        <v>213</v>
      </c>
      <c r="N154" s="144"/>
      <c r="O154" s="118">
        <f>O153+2397</f>
        <v>2088.8925359999998</v>
      </c>
    </row>
    <row r="155" spans="12:15" x14ac:dyDescent="0.25">
      <c r="L155" s="30" t="str">
        <f t="shared" si="3"/>
        <v/>
      </c>
      <c r="M155" s="144" t="s">
        <v>213</v>
      </c>
      <c r="N155" s="144"/>
      <c r="O155" s="118">
        <f>O154*O152</f>
        <v>-3035.5786333152</v>
      </c>
    </row>
    <row r="156" spans="12:15" x14ac:dyDescent="0.25">
      <c r="L156" s="30" t="str">
        <f t="shared" si="3"/>
        <v/>
      </c>
      <c r="M156" s="144" t="s">
        <v>211</v>
      </c>
      <c r="N156" s="144"/>
      <c r="O156" s="118">
        <f>ROUNDDOWN(O155+972.79,0)</f>
        <v>-2062</v>
      </c>
    </row>
    <row r="157" spans="12:15" x14ac:dyDescent="0.25">
      <c r="L157" s="30" t="str">
        <f t="shared" si="3"/>
        <v/>
      </c>
      <c r="M157" s="144" t="s">
        <v>211</v>
      </c>
      <c r="N157" s="144"/>
      <c r="O157" s="118">
        <f>ROUNDDOWN((O144*0.42)-8963.74,0)</f>
        <v>-8963</v>
      </c>
    </row>
    <row r="158" spans="12:15" x14ac:dyDescent="0.25">
      <c r="L158" s="30" t="str">
        <f t="shared" si="3"/>
        <v/>
      </c>
      <c r="M158" s="144" t="s">
        <v>211</v>
      </c>
      <c r="N158" s="144"/>
      <c r="O158" s="118">
        <f>ROUNDDOWN((O144*0.45)-17078.74,0)</f>
        <v>-17078</v>
      </c>
    </row>
    <row r="159" spans="12:15" x14ac:dyDescent="0.25">
      <c r="L159" s="30" t="str">
        <f t="shared" si="3"/>
        <v/>
      </c>
      <c r="M159" s="144" t="s">
        <v>211</v>
      </c>
      <c r="N159" s="144"/>
      <c r="O159" s="120">
        <f>IF(O144&lt;O45+1,O147,IF(O144&lt;14533,O151*O87,IF(O144&lt;57052,O156*O87,IF(O144&lt;270501,O157*O87,O158*O87))))</f>
        <v>0</v>
      </c>
    </row>
    <row r="160" spans="12:15" x14ac:dyDescent="0.25">
      <c r="L160" s="30" t="str">
        <f t="shared" si="3"/>
        <v/>
      </c>
      <c r="M160" s="144" t="s">
        <v>219</v>
      </c>
      <c r="N160" s="144"/>
      <c r="O160" s="118">
        <f>O159</f>
        <v>0</v>
      </c>
    </row>
    <row r="161" spans="12:15" x14ac:dyDescent="0.25">
      <c r="L161" s="30" t="str">
        <f t="shared" si="3"/>
        <v/>
      </c>
      <c r="M161" s="144" t="s">
        <v>218</v>
      </c>
      <c r="N161" s="144"/>
      <c r="O161" s="118">
        <f>O141*0.75</f>
        <v>0</v>
      </c>
    </row>
    <row r="162" spans="12:15" x14ac:dyDescent="0.25">
      <c r="L162" s="30" t="str">
        <f t="shared" si="3"/>
        <v/>
      </c>
      <c r="M162" s="144"/>
      <c r="N162" s="144"/>
      <c r="O162" s="118"/>
    </row>
    <row r="163" spans="12:15" x14ac:dyDescent="0.25">
      <c r="L163" s="30" t="str">
        <f t="shared" si="3"/>
        <v/>
      </c>
      <c r="M163" s="153" t="s">
        <v>258</v>
      </c>
      <c r="N163" s="144"/>
      <c r="O163" s="124"/>
    </row>
    <row r="164" spans="12:15" x14ac:dyDescent="0.25">
      <c r="L164" s="30" t="str">
        <f t="shared" si="3"/>
        <v/>
      </c>
      <c r="M164" s="144" t="s">
        <v>211</v>
      </c>
      <c r="N164" s="144"/>
      <c r="O164" s="118">
        <v>0</v>
      </c>
    </row>
    <row r="165" spans="12:15" x14ac:dyDescent="0.25">
      <c r="L165" s="30" t="str">
        <f t="shared" si="3"/>
        <v/>
      </c>
      <c r="M165" s="144" t="s">
        <v>212</v>
      </c>
      <c r="N165" s="144"/>
      <c r="O165" s="118">
        <f>TRUNC((O161-O45)/10000,6)</f>
        <v>-0.94079999999999997</v>
      </c>
    </row>
    <row r="166" spans="12:15" x14ac:dyDescent="0.25">
      <c r="L166" s="30" t="str">
        <f t="shared" si="3"/>
        <v/>
      </c>
      <c r="M166" s="144" t="s">
        <v>213</v>
      </c>
      <c r="N166" s="144"/>
      <c r="O166" s="118">
        <f>O165*972.87</f>
        <v>-915.27609599999994</v>
      </c>
    </row>
    <row r="167" spans="12:15" x14ac:dyDescent="0.25">
      <c r="L167" s="30" t="str">
        <f t="shared" si="3"/>
        <v/>
      </c>
      <c r="M167" s="144" t="s">
        <v>213</v>
      </c>
      <c r="N167" s="144"/>
      <c r="O167" s="124">
        <f>O166+1400</f>
        <v>484.72390400000006</v>
      </c>
    </row>
    <row r="168" spans="12:15" x14ac:dyDescent="0.25">
      <c r="L168" s="30" t="str">
        <f t="shared" si="3"/>
        <v/>
      </c>
      <c r="M168" s="144" t="s">
        <v>211</v>
      </c>
      <c r="N168" s="144"/>
      <c r="O168" s="118">
        <f>ROUNDDOWN(O167*O165,0)</f>
        <v>-456</v>
      </c>
    </row>
    <row r="169" spans="12:15" x14ac:dyDescent="0.25">
      <c r="L169" s="30" t="str">
        <f t="shared" si="3"/>
        <v/>
      </c>
      <c r="M169" s="144" t="s">
        <v>212</v>
      </c>
      <c r="N169" s="144"/>
      <c r="O169" s="118">
        <f>TRUNC((O161-14532)/10000,6)</f>
        <v>-1.4532</v>
      </c>
    </row>
    <row r="170" spans="12:15" x14ac:dyDescent="0.25">
      <c r="L170" s="30" t="str">
        <f t="shared" si="3"/>
        <v/>
      </c>
      <c r="M170" s="144" t="s">
        <v>213</v>
      </c>
      <c r="N170" s="144"/>
      <c r="O170" s="118">
        <f>O169*212.02</f>
        <v>-308.10746400000005</v>
      </c>
    </row>
    <row r="171" spans="12:15" x14ac:dyDescent="0.25">
      <c r="L171" s="30" t="str">
        <f t="shared" si="3"/>
        <v/>
      </c>
      <c r="M171" s="144" t="s">
        <v>213</v>
      </c>
      <c r="N171" s="144"/>
      <c r="O171" s="118">
        <f>O170+2397</f>
        <v>2088.8925359999998</v>
      </c>
    </row>
    <row r="172" spans="12:15" x14ac:dyDescent="0.25">
      <c r="L172" s="30" t="str">
        <f t="shared" si="3"/>
        <v/>
      </c>
      <c r="M172" s="144" t="s">
        <v>213</v>
      </c>
      <c r="N172" s="144"/>
      <c r="O172" s="118">
        <f>O171*O169</f>
        <v>-3035.5786333152</v>
      </c>
    </row>
    <row r="173" spans="12:15" x14ac:dyDescent="0.25">
      <c r="L173" s="30" t="str">
        <f t="shared" si="3"/>
        <v/>
      </c>
      <c r="M173" s="144" t="s">
        <v>211</v>
      </c>
      <c r="N173" s="144"/>
      <c r="O173" s="118">
        <f>ROUNDDOWN(O172+972.79,0)</f>
        <v>-2062</v>
      </c>
    </row>
    <row r="174" spans="12:15" x14ac:dyDescent="0.25">
      <c r="L174" s="30" t="str">
        <f t="shared" si="3"/>
        <v/>
      </c>
      <c r="M174" s="144" t="s">
        <v>211</v>
      </c>
      <c r="N174" s="144"/>
      <c r="O174" s="118">
        <f>ROUNDDOWN((O161*0.42)-8963.74,0)</f>
        <v>-8963</v>
      </c>
    </row>
    <row r="175" spans="12:15" x14ac:dyDescent="0.25">
      <c r="L175" s="30" t="str">
        <f t="shared" si="3"/>
        <v/>
      </c>
      <c r="M175" s="144" t="s">
        <v>211</v>
      </c>
      <c r="N175" s="144"/>
      <c r="O175" s="118">
        <f>ROUNDDOWN((O161*0.45)-17078.74,0)</f>
        <v>-17078</v>
      </c>
    </row>
    <row r="176" spans="12:15" x14ac:dyDescent="0.25">
      <c r="L176" s="30" t="str">
        <f t="shared" si="3"/>
        <v/>
      </c>
      <c r="M176" s="144" t="s">
        <v>211</v>
      </c>
      <c r="N176" s="144"/>
      <c r="O176" s="118">
        <f>IF(O161&lt;O45+1,O164,IF(O161&lt;14533,O168*O87,IF(O161&lt;57052,O173*O87,IF(O161&lt;270501,O174*O87,O175*O87))))</f>
        <v>0</v>
      </c>
    </row>
    <row r="177" spans="12:15" x14ac:dyDescent="0.25">
      <c r="L177" s="30" t="str">
        <f t="shared" si="3"/>
        <v/>
      </c>
      <c r="M177" s="144" t="s">
        <v>220</v>
      </c>
      <c r="N177" s="144"/>
      <c r="O177" s="118">
        <f>O176</f>
        <v>0</v>
      </c>
    </row>
    <row r="178" spans="12:15" x14ac:dyDescent="0.25">
      <c r="L178" s="30" t="str">
        <f t="shared" si="3"/>
        <v/>
      </c>
      <c r="M178" s="144" t="s">
        <v>221</v>
      </c>
      <c r="N178" s="144"/>
      <c r="O178" s="118">
        <f>(O160-O177)*2</f>
        <v>0</v>
      </c>
    </row>
    <row r="179" spans="12:15" x14ac:dyDescent="0.25">
      <c r="L179" s="30" t="str">
        <f t="shared" si="3"/>
        <v/>
      </c>
      <c r="M179" s="144" t="s">
        <v>222</v>
      </c>
      <c r="N179" s="144"/>
      <c r="O179" s="118">
        <f>ROUNDDOWN(O141*0.14,0)</f>
        <v>0</v>
      </c>
    </row>
    <row r="180" spans="12:15" x14ac:dyDescent="0.25">
      <c r="L180" s="30" t="str">
        <f t="shared" si="3"/>
        <v/>
      </c>
      <c r="M180" s="144" t="s">
        <v>211</v>
      </c>
      <c r="N180" s="144"/>
      <c r="O180" s="118">
        <f>IF(O179&gt;O178,O179,O178)</f>
        <v>0</v>
      </c>
    </row>
    <row r="181" spans="12:15" x14ac:dyDescent="0.25">
      <c r="L181" s="30" t="str">
        <f t="shared" si="3"/>
        <v/>
      </c>
      <c r="M181" s="144" t="s">
        <v>216</v>
      </c>
      <c r="N181" s="144"/>
      <c r="O181" s="118">
        <f>IF(O140&gt;O42,O42,O180)</f>
        <v>0</v>
      </c>
    </row>
    <row r="182" spans="12:15" x14ac:dyDescent="0.25">
      <c r="L182" s="30" t="str">
        <f t="shared" si="3"/>
        <v/>
      </c>
      <c r="M182" s="144" t="s">
        <v>223</v>
      </c>
      <c r="N182" s="144"/>
      <c r="O182" s="118">
        <f>O180</f>
        <v>0</v>
      </c>
    </row>
    <row r="183" spans="12:15" x14ac:dyDescent="0.25">
      <c r="L183" s="30" t="str">
        <f t="shared" si="3"/>
        <v/>
      </c>
      <c r="M183" s="144"/>
      <c r="N183" s="144"/>
      <c r="O183" s="120"/>
    </row>
    <row r="184" spans="12:15" x14ac:dyDescent="0.25">
      <c r="L184" s="30" t="str">
        <f t="shared" si="3"/>
        <v/>
      </c>
      <c r="M184" s="153" t="s">
        <v>217</v>
      </c>
      <c r="N184" s="144"/>
      <c r="O184" s="118"/>
    </row>
    <row r="185" spans="12:15" x14ac:dyDescent="0.25">
      <c r="L185" s="30" t="str">
        <f t="shared" si="3"/>
        <v/>
      </c>
      <c r="M185" s="144" t="s">
        <v>218</v>
      </c>
      <c r="N185" s="144"/>
      <c r="O185" s="118">
        <f>O181*1.25</f>
        <v>0</v>
      </c>
    </row>
    <row r="186" spans="12:15" x14ac:dyDescent="0.25">
      <c r="L186" s="30" t="str">
        <f t="shared" si="3"/>
        <v/>
      </c>
      <c r="M186" s="144"/>
      <c r="N186" s="144"/>
      <c r="O186" s="118"/>
    </row>
    <row r="187" spans="12:15" x14ac:dyDescent="0.25">
      <c r="L187" s="30" t="str">
        <f t="shared" si="3"/>
        <v/>
      </c>
      <c r="M187" s="153" t="s">
        <v>258</v>
      </c>
      <c r="N187" s="144"/>
      <c r="O187" s="124"/>
    </row>
    <row r="188" spans="12:15" x14ac:dyDescent="0.25">
      <c r="L188" s="30" t="str">
        <f t="shared" si="3"/>
        <v/>
      </c>
      <c r="M188" s="144" t="s">
        <v>211</v>
      </c>
      <c r="N188" s="144"/>
      <c r="O188" s="118">
        <v>0</v>
      </c>
    </row>
    <row r="189" spans="12:15" x14ac:dyDescent="0.25">
      <c r="L189" s="30" t="str">
        <f t="shared" si="3"/>
        <v/>
      </c>
      <c r="M189" s="144" t="s">
        <v>212</v>
      </c>
      <c r="N189" s="144"/>
      <c r="O189" s="118">
        <f>TRUNC((O185-O45)/10000,6)</f>
        <v>-0.94079999999999997</v>
      </c>
    </row>
    <row r="190" spans="12:15" x14ac:dyDescent="0.25">
      <c r="L190" s="30" t="str">
        <f t="shared" si="3"/>
        <v/>
      </c>
      <c r="M190" s="144" t="s">
        <v>213</v>
      </c>
      <c r="N190" s="144"/>
      <c r="O190" s="118">
        <f>O189*972.87</f>
        <v>-915.27609599999994</v>
      </c>
    </row>
    <row r="191" spans="12:15" x14ac:dyDescent="0.25">
      <c r="L191" s="30" t="str">
        <f t="shared" si="3"/>
        <v/>
      </c>
      <c r="M191" s="144" t="s">
        <v>213</v>
      </c>
      <c r="N191" s="144"/>
      <c r="O191" s="124">
        <f>O190+1400</f>
        <v>484.72390400000006</v>
      </c>
    </row>
    <row r="192" spans="12:15" x14ac:dyDescent="0.25">
      <c r="L192" s="30" t="str">
        <f t="shared" si="3"/>
        <v/>
      </c>
      <c r="M192" s="144" t="s">
        <v>211</v>
      </c>
      <c r="N192" s="144"/>
      <c r="O192" s="118">
        <f>ROUNDDOWN(O191*O189,0)</f>
        <v>-456</v>
      </c>
    </row>
    <row r="193" spans="12:15" x14ac:dyDescent="0.25">
      <c r="L193" s="30" t="str">
        <f t="shared" si="3"/>
        <v/>
      </c>
      <c r="M193" s="144" t="s">
        <v>212</v>
      </c>
      <c r="N193" s="144"/>
      <c r="O193" s="118">
        <f>TRUNC((O185-14532)/10000,6)</f>
        <v>-1.4532</v>
      </c>
    </row>
    <row r="194" spans="12:15" x14ac:dyDescent="0.25">
      <c r="L194" s="30" t="str">
        <f t="shared" si="3"/>
        <v/>
      </c>
      <c r="M194" s="144" t="s">
        <v>213</v>
      </c>
      <c r="N194" s="144"/>
      <c r="O194" s="118">
        <f>O193*212.02</f>
        <v>-308.10746400000005</v>
      </c>
    </row>
    <row r="195" spans="12:15" x14ac:dyDescent="0.25">
      <c r="L195" s="30" t="str">
        <f t="shared" si="3"/>
        <v/>
      </c>
      <c r="M195" s="144" t="s">
        <v>213</v>
      </c>
      <c r="N195" s="144"/>
      <c r="O195" s="118">
        <f>O194+2397</f>
        <v>2088.8925359999998</v>
      </c>
    </row>
    <row r="196" spans="12:15" x14ac:dyDescent="0.25">
      <c r="L196" s="30" t="str">
        <f t="shared" si="3"/>
        <v/>
      </c>
      <c r="M196" s="144" t="s">
        <v>213</v>
      </c>
      <c r="N196" s="144"/>
      <c r="O196" s="118">
        <f>O195*O193</f>
        <v>-3035.5786333152</v>
      </c>
    </row>
    <row r="197" spans="12:15" x14ac:dyDescent="0.25">
      <c r="L197" s="30" t="str">
        <f t="shared" ref="L197:L260" si="4">IF(M197=$R$41,$S$41,IF(M197=$R$42,$S$42,IF(M197=$R$43,$S$43,IF(M197=$R$44,$S$44,IF(M197=$R$45,$S$45,"")))))</f>
        <v/>
      </c>
      <c r="M197" s="144" t="s">
        <v>211</v>
      </c>
      <c r="N197" s="144"/>
      <c r="O197" s="118">
        <f>ROUNDDOWN(O196+972.79,0)</f>
        <v>-2062</v>
      </c>
    </row>
    <row r="198" spans="12:15" x14ac:dyDescent="0.25">
      <c r="L198" s="30" t="str">
        <f t="shared" si="4"/>
        <v/>
      </c>
      <c r="M198" s="144" t="s">
        <v>211</v>
      </c>
      <c r="N198" s="144"/>
      <c r="O198" s="118">
        <f>ROUNDDOWN((O185*0.42)-8963.74,0)</f>
        <v>-8963</v>
      </c>
    </row>
    <row r="199" spans="12:15" x14ac:dyDescent="0.25">
      <c r="L199" s="30" t="str">
        <f t="shared" si="4"/>
        <v/>
      </c>
      <c r="M199" s="144" t="s">
        <v>211</v>
      </c>
      <c r="N199" s="144"/>
      <c r="O199" s="118">
        <f>ROUNDDOWN((O185*0.45)-17078.74,0)</f>
        <v>-17078</v>
      </c>
    </row>
    <row r="200" spans="12:15" x14ac:dyDescent="0.25">
      <c r="L200" s="30" t="str">
        <f t="shared" si="4"/>
        <v/>
      </c>
      <c r="M200" s="144" t="s">
        <v>211</v>
      </c>
      <c r="N200" s="144"/>
      <c r="O200" s="120">
        <f>IF(O185&lt;O45+1,O188,IF(O185&lt;14533,O192*O87,IF(O185&lt;57052,O197*O87,IF(O185&lt;270501,O198*O87,O199*O87))))</f>
        <v>0</v>
      </c>
    </row>
    <row r="201" spans="12:15" x14ac:dyDescent="0.25">
      <c r="L201" s="30" t="str">
        <f t="shared" si="4"/>
        <v/>
      </c>
      <c r="M201" s="144" t="s">
        <v>219</v>
      </c>
      <c r="N201" s="144"/>
      <c r="O201" s="118">
        <f>O200</f>
        <v>0</v>
      </c>
    </row>
    <row r="202" spans="12:15" x14ac:dyDescent="0.25">
      <c r="L202" s="30" t="str">
        <f t="shared" si="4"/>
        <v/>
      </c>
      <c r="M202" s="144" t="s">
        <v>218</v>
      </c>
      <c r="N202" s="144"/>
      <c r="O202" s="118">
        <f>O181*0.75</f>
        <v>0</v>
      </c>
    </row>
    <row r="203" spans="12:15" x14ac:dyDescent="0.25">
      <c r="L203" s="30" t="str">
        <f t="shared" si="4"/>
        <v/>
      </c>
      <c r="M203" s="144"/>
      <c r="N203" s="144"/>
      <c r="O203" s="118"/>
    </row>
    <row r="204" spans="12:15" x14ac:dyDescent="0.25">
      <c r="L204" s="30" t="str">
        <f t="shared" si="4"/>
        <v/>
      </c>
      <c r="M204" s="153" t="s">
        <v>258</v>
      </c>
      <c r="N204" s="144"/>
      <c r="O204" s="124"/>
    </row>
    <row r="205" spans="12:15" x14ac:dyDescent="0.25">
      <c r="L205" s="30" t="str">
        <f t="shared" si="4"/>
        <v/>
      </c>
      <c r="M205" s="144" t="s">
        <v>211</v>
      </c>
      <c r="N205" s="144"/>
      <c r="O205" s="118">
        <v>0</v>
      </c>
    </row>
    <row r="206" spans="12:15" x14ac:dyDescent="0.25">
      <c r="L206" s="30" t="str">
        <f t="shared" si="4"/>
        <v/>
      </c>
      <c r="M206" s="144" t="s">
        <v>212</v>
      </c>
      <c r="N206" s="144"/>
      <c r="O206" s="118">
        <f>TRUNC((O202-O45)/10000,6)</f>
        <v>-0.94079999999999997</v>
      </c>
    </row>
    <row r="207" spans="12:15" x14ac:dyDescent="0.25">
      <c r="L207" s="30" t="str">
        <f t="shared" si="4"/>
        <v/>
      </c>
      <c r="M207" s="144" t="s">
        <v>213</v>
      </c>
      <c r="N207" s="144"/>
      <c r="O207" s="118">
        <f>O206*972.87</f>
        <v>-915.27609599999994</v>
      </c>
    </row>
    <row r="208" spans="12:15" x14ac:dyDescent="0.25">
      <c r="L208" s="30" t="str">
        <f t="shared" si="4"/>
        <v/>
      </c>
      <c r="M208" s="144" t="s">
        <v>213</v>
      </c>
      <c r="N208" s="144"/>
      <c r="O208" s="124">
        <f>O207+1400</f>
        <v>484.72390400000006</v>
      </c>
    </row>
    <row r="209" spans="12:15" x14ac:dyDescent="0.25">
      <c r="L209" s="30" t="str">
        <f t="shared" si="4"/>
        <v/>
      </c>
      <c r="M209" s="144" t="s">
        <v>211</v>
      </c>
      <c r="N209" s="144"/>
      <c r="O209" s="118">
        <f>ROUNDDOWN(O208*O206,0)</f>
        <v>-456</v>
      </c>
    </row>
    <row r="210" spans="12:15" x14ac:dyDescent="0.25">
      <c r="L210" s="30" t="str">
        <f t="shared" si="4"/>
        <v/>
      </c>
      <c r="M210" s="144" t="s">
        <v>212</v>
      </c>
      <c r="N210" s="144"/>
      <c r="O210" s="118">
        <f>TRUNC((O202-14532)/10000,6)</f>
        <v>-1.4532</v>
      </c>
    </row>
    <row r="211" spans="12:15" x14ac:dyDescent="0.25">
      <c r="L211" s="30" t="str">
        <f t="shared" si="4"/>
        <v/>
      </c>
      <c r="M211" s="144" t="s">
        <v>213</v>
      </c>
      <c r="N211" s="144"/>
      <c r="O211" s="118">
        <f>O210*212.02</f>
        <v>-308.10746400000005</v>
      </c>
    </row>
    <row r="212" spans="12:15" x14ac:dyDescent="0.25">
      <c r="L212" s="30" t="str">
        <f t="shared" si="4"/>
        <v/>
      </c>
      <c r="M212" s="144" t="s">
        <v>213</v>
      </c>
      <c r="N212" s="144"/>
      <c r="O212" s="118">
        <f>O211+2397</f>
        <v>2088.8925359999998</v>
      </c>
    </row>
    <row r="213" spans="12:15" x14ac:dyDescent="0.25">
      <c r="L213" s="30" t="str">
        <f t="shared" si="4"/>
        <v/>
      </c>
      <c r="M213" s="144" t="s">
        <v>213</v>
      </c>
      <c r="N213" s="144"/>
      <c r="O213" s="118">
        <f>O212*O210</f>
        <v>-3035.5786333152</v>
      </c>
    </row>
    <row r="214" spans="12:15" x14ac:dyDescent="0.25">
      <c r="L214" s="30" t="str">
        <f t="shared" si="4"/>
        <v/>
      </c>
      <c r="M214" s="144" t="s">
        <v>211</v>
      </c>
      <c r="N214" s="144"/>
      <c r="O214" s="118">
        <f>ROUNDDOWN(O213+972.79,0)</f>
        <v>-2062</v>
      </c>
    </row>
    <row r="215" spans="12:15" x14ac:dyDescent="0.25">
      <c r="L215" s="30" t="str">
        <f t="shared" si="4"/>
        <v/>
      </c>
      <c r="M215" s="144" t="s">
        <v>211</v>
      </c>
      <c r="N215" s="144"/>
      <c r="O215" s="118">
        <f>ROUNDDOWN((O202*0.42)-8963.74,0)</f>
        <v>-8963</v>
      </c>
    </row>
    <row r="216" spans="12:15" x14ac:dyDescent="0.25">
      <c r="L216" s="30" t="str">
        <f t="shared" si="4"/>
        <v/>
      </c>
      <c r="M216" s="144" t="s">
        <v>211</v>
      </c>
      <c r="N216" s="144"/>
      <c r="O216" s="118">
        <f>ROUNDDOWN((O202*0.45)-17078.74,0)</f>
        <v>-17078</v>
      </c>
    </row>
    <row r="217" spans="12:15" x14ac:dyDescent="0.25">
      <c r="L217" s="30" t="str">
        <f t="shared" si="4"/>
        <v/>
      </c>
      <c r="M217" s="144" t="s">
        <v>211</v>
      </c>
      <c r="N217" s="144"/>
      <c r="O217" s="118">
        <f>IF(O202&lt;O45+1,O205,IF(O202&lt;14533,O209*O87,IF(O202&lt;57052,O214*O87,IF(O202&lt;270501,O215*O87,O216*O87))))</f>
        <v>0</v>
      </c>
    </row>
    <row r="218" spans="12:15" x14ac:dyDescent="0.25">
      <c r="L218" s="30" t="str">
        <f t="shared" si="4"/>
        <v/>
      </c>
      <c r="M218" s="144" t="s">
        <v>220</v>
      </c>
      <c r="N218" s="144"/>
      <c r="O218" s="118">
        <f>O217</f>
        <v>0</v>
      </c>
    </row>
    <row r="219" spans="12:15" x14ac:dyDescent="0.25">
      <c r="L219" s="30" t="str">
        <f t="shared" si="4"/>
        <v/>
      </c>
      <c r="M219" s="144" t="s">
        <v>221</v>
      </c>
      <c r="N219" s="144"/>
      <c r="O219" s="118">
        <f>(O201-O218)*2</f>
        <v>0</v>
      </c>
    </row>
    <row r="220" spans="12:15" x14ac:dyDescent="0.25">
      <c r="L220" s="30" t="str">
        <f t="shared" si="4"/>
        <v/>
      </c>
      <c r="M220" s="144" t="s">
        <v>222</v>
      </c>
      <c r="N220" s="144"/>
      <c r="O220" s="118">
        <f>ROUNDDOWN(O181*0.14,0)</f>
        <v>0</v>
      </c>
    </row>
    <row r="221" spans="12:15" x14ac:dyDescent="0.25">
      <c r="L221" s="30" t="str">
        <f t="shared" si="4"/>
        <v/>
      </c>
      <c r="M221" s="144" t="s">
        <v>211</v>
      </c>
      <c r="N221" s="144"/>
      <c r="O221" s="118">
        <f>IF(O220&gt;O219,O220,O219)</f>
        <v>0</v>
      </c>
    </row>
    <row r="222" spans="12:15" x14ac:dyDescent="0.25">
      <c r="L222" s="30" t="str">
        <f t="shared" si="4"/>
        <v/>
      </c>
      <c r="M222" s="144" t="s">
        <v>224</v>
      </c>
      <c r="N222" s="144"/>
      <c r="O222" s="118">
        <f>ROUNDDOWN(O221+((O140-O42)*0.42),0)</f>
        <v>-4577</v>
      </c>
    </row>
    <row r="223" spans="12:15" x14ac:dyDescent="0.25">
      <c r="L223" s="30" t="str">
        <f t="shared" si="4"/>
        <v/>
      </c>
      <c r="M223" s="144" t="s">
        <v>211</v>
      </c>
      <c r="N223" s="144"/>
      <c r="O223" s="118">
        <f>IF(O222&lt;O182,O222,O182)</f>
        <v>-4577</v>
      </c>
    </row>
    <row r="224" spans="12:15" x14ac:dyDescent="0.25">
      <c r="L224" s="30" t="str">
        <f t="shared" si="4"/>
        <v/>
      </c>
      <c r="M224" s="144" t="s">
        <v>211</v>
      </c>
      <c r="N224" s="144"/>
      <c r="O224" s="118">
        <f>IF(O140&gt;O44,ROUNDDOWN((O180+(O44-O43)*0.42)+(O140-O44)*0.45,0),IF(O140&gt;O43,ROUNDDOWN(O180+((O140-O43)*0.42),0),IF(O140&gt;O42,O223,O180)))</f>
        <v>0</v>
      </c>
    </row>
    <row r="225" spans="12:15" x14ac:dyDescent="0.25">
      <c r="L225" s="30" t="str">
        <f t="shared" si="4"/>
        <v/>
      </c>
      <c r="M225" s="144"/>
      <c r="N225" s="144"/>
      <c r="O225" s="118"/>
    </row>
    <row r="226" spans="12:15" x14ac:dyDescent="0.25">
      <c r="L226" s="30" t="str">
        <f t="shared" si="4"/>
        <v/>
      </c>
      <c r="M226" s="144" t="s">
        <v>225</v>
      </c>
      <c r="N226" s="144"/>
      <c r="O226" s="118">
        <f>ROUNDDOWN(IF(O20&lt;5,O137,O224)*O53,0)</f>
        <v>0</v>
      </c>
    </row>
    <row r="227" spans="12:15" x14ac:dyDescent="0.25">
      <c r="L227" s="30" t="str">
        <f t="shared" si="4"/>
        <v/>
      </c>
      <c r="M227" s="144"/>
      <c r="N227" s="144"/>
      <c r="O227" s="118"/>
    </row>
    <row r="228" spans="12:15" x14ac:dyDescent="0.25">
      <c r="L228" s="30" t="str">
        <f t="shared" si="4"/>
        <v/>
      </c>
      <c r="M228" s="153" t="s">
        <v>226</v>
      </c>
      <c r="N228" s="144"/>
      <c r="O228" s="118"/>
    </row>
    <row r="229" spans="12:15" x14ac:dyDescent="0.25">
      <c r="L229" s="30" t="str">
        <f t="shared" si="4"/>
        <v/>
      </c>
      <c r="M229" s="144" t="s">
        <v>227</v>
      </c>
      <c r="N229" s="144"/>
      <c r="O229" s="118">
        <f>O226*100</f>
        <v>0</v>
      </c>
    </row>
    <row r="230" spans="12:15" x14ac:dyDescent="0.25">
      <c r="L230" s="30" t="str">
        <f t="shared" si="4"/>
        <v/>
      </c>
      <c r="M230" s="144"/>
      <c r="N230" s="144"/>
      <c r="O230" s="118"/>
    </row>
    <row r="231" spans="12:15" x14ac:dyDescent="0.25">
      <c r="L231" s="30" t="str">
        <f t="shared" si="4"/>
        <v/>
      </c>
      <c r="M231" s="153" t="s">
        <v>228</v>
      </c>
      <c r="N231" s="144"/>
      <c r="O231" s="145"/>
    </row>
    <row r="232" spans="12:15" x14ac:dyDescent="0.25">
      <c r="L232" s="30" t="str">
        <f t="shared" si="4"/>
        <v/>
      </c>
      <c r="M232" s="144" t="s">
        <v>229</v>
      </c>
      <c r="N232" s="144"/>
      <c r="O232" s="118">
        <f>IF(O10=1,O229,IF(O10=2,ROUNDDOWN(O229/12,0),IF(O10=3,ROUNDDOWN((O229*7)/360,0),ROUNDDOWN(O229/360,0))))</f>
        <v>0</v>
      </c>
    </row>
    <row r="233" spans="12:15" x14ac:dyDescent="0.25">
      <c r="L233" s="30" t="str">
        <f t="shared" si="4"/>
        <v>LSTLZZ nach C28</v>
      </c>
      <c r="M233" s="144" t="s">
        <v>230</v>
      </c>
      <c r="N233" s="144"/>
      <c r="O233" s="125">
        <f>O232</f>
        <v>0</v>
      </c>
    </row>
    <row r="234" spans="12:15" x14ac:dyDescent="0.25">
      <c r="L234" s="30" t="str">
        <f t="shared" si="4"/>
        <v/>
      </c>
      <c r="M234" s="144" t="s">
        <v>194</v>
      </c>
      <c r="N234" s="144"/>
      <c r="O234" s="118">
        <f>O92+O91</f>
        <v>36</v>
      </c>
    </row>
    <row r="235" spans="12:15" x14ac:dyDescent="0.25">
      <c r="L235" s="30" t="str">
        <f t="shared" si="4"/>
        <v/>
      </c>
      <c r="M235" s="144" t="s">
        <v>208</v>
      </c>
      <c r="N235" s="144"/>
      <c r="O235" s="118">
        <f>O79-O234-O116</f>
        <v>-36</v>
      </c>
    </row>
    <row r="236" spans="12:15" x14ac:dyDescent="0.25">
      <c r="L236" s="30" t="str">
        <f t="shared" si="4"/>
        <v/>
      </c>
      <c r="M236" s="144" t="s">
        <v>210</v>
      </c>
      <c r="N236" s="144"/>
      <c r="O236" s="118">
        <f>IF(O235&lt;36,0,ROUNDDOWN(O235/O87,0))</f>
        <v>0</v>
      </c>
    </row>
    <row r="237" spans="12:15" x14ac:dyDescent="0.25">
      <c r="L237" s="30" t="str">
        <f t="shared" si="4"/>
        <v/>
      </c>
      <c r="M237" s="144"/>
      <c r="N237" s="144"/>
      <c r="O237" s="118"/>
    </row>
    <row r="238" spans="12:15" x14ac:dyDescent="0.25">
      <c r="L238" s="30" t="str">
        <f t="shared" si="4"/>
        <v/>
      </c>
      <c r="M238" s="153" t="s">
        <v>258</v>
      </c>
      <c r="N238" s="144"/>
      <c r="O238" s="124"/>
    </row>
    <row r="239" spans="12:15" x14ac:dyDescent="0.25">
      <c r="L239" s="30" t="str">
        <f t="shared" si="4"/>
        <v/>
      </c>
      <c r="M239" s="144" t="s">
        <v>211</v>
      </c>
      <c r="N239" s="144"/>
      <c r="O239" s="118">
        <v>0</v>
      </c>
    </row>
    <row r="240" spans="12:15" x14ac:dyDescent="0.25">
      <c r="L240" s="30" t="str">
        <f t="shared" si="4"/>
        <v/>
      </c>
      <c r="M240" s="144" t="s">
        <v>212</v>
      </c>
      <c r="N240" s="144"/>
      <c r="O240" s="118">
        <f>TRUNC((O236-O45)/10000,6)</f>
        <v>-0.94079999999999997</v>
      </c>
    </row>
    <row r="241" spans="12:15" x14ac:dyDescent="0.25">
      <c r="L241" s="30" t="str">
        <f t="shared" si="4"/>
        <v/>
      </c>
      <c r="M241" s="144" t="s">
        <v>213</v>
      </c>
      <c r="N241" s="144"/>
      <c r="O241" s="118">
        <f>O240*972.87</f>
        <v>-915.27609599999994</v>
      </c>
    </row>
    <row r="242" spans="12:15" x14ac:dyDescent="0.25">
      <c r="L242" s="30" t="str">
        <f t="shared" si="4"/>
        <v/>
      </c>
      <c r="M242" s="144" t="s">
        <v>213</v>
      </c>
      <c r="N242" s="144"/>
      <c r="O242" s="124">
        <f>O241+1400</f>
        <v>484.72390400000006</v>
      </c>
    </row>
    <row r="243" spans="12:15" x14ac:dyDescent="0.25">
      <c r="L243" s="30" t="str">
        <f t="shared" si="4"/>
        <v/>
      </c>
      <c r="M243" s="144" t="s">
        <v>211</v>
      </c>
      <c r="N243" s="144"/>
      <c r="O243" s="118">
        <f>ROUNDDOWN(O242*O240,0)</f>
        <v>-456</v>
      </c>
    </row>
    <row r="244" spans="12:15" x14ac:dyDescent="0.25">
      <c r="L244" s="30" t="str">
        <f t="shared" si="4"/>
        <v/>
      </c>
      <c r="M244" s="144" t="s">
        <v>212</v>
      </c>
      <c r="N244" s="144"/>
      <c r="O244" s="118">
        <f>TRUNC((O236-14532)/10000,6)</f>
        <v>-1.4532</v>
      </c>
    </row>
    <row r="245" spans="12:15" x14ac:dyDescent="0.25">
      <c r="L245" s="30" t="str">
        <f t="shared" si="4"/>
        <v/>
      </c>
      <c r="M245" s="144" t="s">
        <v>213</v>
      </c>
      <c r="N245" s="144"/>
      <c r="O245" s="118">
        <f>O244*212.02</f>
        <v>-308.10746400000005</v>
      </c>
    </row>
    <row r="246" spans="12:15" x14ac:dyDescent="0.25">
      <c r="L246" s="30" t="str">
        <f t="shared" si="4"/>
        <v/>
      </c>
      <c r="M246" s="144" t="s">
        <v>213</v>
      </c>
      <c r="N246" s="144"/>
      <c r="O246" s="118">
        <f>O245+2397</f>
        <v>2088.8925359999998</v>
      </c>
    </row>
    <row r="247" spans="12:15" x14ac:dyDescent="0.25">
      <c r="L247" s="30" t="str">
        <f t="shared" si="4"/>
        <v/>
      </c>
      <c r="M247" s="144" t="s">
        <v>213</v>
      </c>
      <c r="N247" s="144"/>
      <c r="O247" s="118">
        <f>O246*O244</f>
        <v>-3035.5786333152</v>
      </c>
    </row>
    <row r="248" spans="12:15" x14ac:dyDescent="0.25">
      <c r="L248" s="30" t="str">
        <f t="shared" si="4"/>
        <v/>
      </c>
      <c r="M248" s="144" t="s">
        <v>211</v>
      </c>
      <c r="N248" s="144"/>
      <c r="O248" s="118">
        <f>ROUNDDOWN(O247+972.79,0)</f>
        <v>-2062</v>
      </c>
    </row>
    <row r="249" spans="12:15" x14ac:dyDescent="0.25">
      <c r="L249" s="30" t="str">
        <f t="shared" si="4"/>
        <v/>
      </c>
      <c r="M249" s="144" t="s">
        <v>211</v>
      </c>
      <c r="N249" s="144"/>
      <c r="O249" s="118">
        <f>ROUNDDOWN((O236*0.42)-8963.74,0)</f>
        <v>-8963</v>
      </c>
    </row>
    <row r="250" spans="12:15" x14ac:dyDescent="0.25">
      <c r="L250" s="30" t="str">
        <f t="shared" si="4"/>
        <v/>
      </c>
      <c r="M250" s="144" t="s">
        <v>211</v>
      </c>
      <c r="N250" s="144"/>
      <c r="O250" s="118">
        <f>ROUNDDOWN((O236*0.45)-17078.74,0)</f>
        <v>-17078</v>
      </c>
    </row>
    <row r="251" spans="12:15" x14ac:dyDescent="0.25">
      <c r="L251" s="30" t="str">
        <f t="shared" si="4"/>
        <v/>
      </c>
      <c r="M251" s="144" t="s">
        <v>211</v>
      </c>
      <c r="N251" s="144"/>
      <c r="O251" s="118">
        <f>IF(O236&lt;O45+1,O239,IF(O236&lt;14533,O243*O87,IF(O236&lt;57052,O248*O87,IF(O236&lt;270501,O249*O87,O250*O87))))</f>
        <v>0</v>
      </c>
    </row>
    <row r="252" spans="12:15" x14ac:dyDescent="0.25">
      <c r="L252" s="30" t="str">
        <f t="shared" si="4"/>
        <v/>
      </c>
      <c r="M252" s="144" t="s">
        <v>231</v>
      </c>
      <c r="N252" s="144"/>
      <c r="O252" s="118">
        <f>IF(O25&gt;0,ROUNDDOWN(O251*O53,0),O226)</f>
        <v>0</v>
      </c>
    </row>
    <row r="253" spans="12:15" x14ac:dyDescent="0.25">
      <c r="L253" s="30" t="str">
        <f t="shared" si="4"/>
        <v/>
      </c>
      <c r="M253" s="144"/>
      <c r="N253" s="144"/>
      <c r="O253" s="118"/>
    </row>
    <row r="254" spans="12:15" x14ac:dyDescent="0.25">
      <c r="L254" s="30" t="str">
        <f t="shared" si="4"/>
        <v/>
      </c>
      <c r="M254" s="153" t="s">
        <v>232</v>
      </c>
      <c r="N254" s="144"/>
      <c r="O254" s="120"/>
    </row>
    <row r="255" spans="12:15" x14ac:dyDescent="0.25">
      <c r="L255" s="30" t="str">
        <f t="shared" si="4"/>
        <v/>
      </c>
      <c r="M255" s="144" t="s">
        <v>161</v>
      </c>
      <c r="N255" s="144"/>
      <c r="O255" s="120">
        <f>O46*O87</f>
        <v>972</v>
      </c>
    </row>
    <row r="256" spans="12:15" x14ac:dyDescent="0.25">
      <c r="L256" s="30" t="str">
        <f t="shared" si="4"/>
        <v/>
      </c>
      <c r="M256" s="144" t="s">
        <v>233</v>
      </c>
      <c r="N256" s="144"/>
      <c r="O256" s="120">
        <f>ROUNDDOWN((O252*5.5)/100,2)</f>
        <v>0</v>
      </c>
    </row>
    <row r="257" spans="12:15" x14ac:dyDescent="0.25">
      <c r="L257" s="30" t="str">
        <f t="shared" si="4"/>
        <v/>
      </c>
      <c r="M257" s="144" t="s">
        <v>234</v>
      </c>
      <c r="N257" s="144"/>
      <c r="O257" s="118">
        <f>((O252-O255)*20)/100</f>
        <v>-194.4</v>
      </c>
    </row>
    <row r="258" spans="12:15" x14ac:dyDescent="0.25">
      <c r="L258" s="30" t="str">
        <f t="shared" si="4"/>
        <v/>
      </c>
      <c r="M258" s="144" t="s">
        <v>233</v>
      </c>
      <c r="N258" s="144"/>
      <c r="O258" s="118">
        <f>IF(O257&lt;O256,O257,O256)</f>
        <v>-194.4</v>
      </c>
    </row>
    <row r="259" spans="12:15" x14ac:dyDescent="0.25">
      <c r="L259" s="30" t="str">
        <f t="shared" si="4"/>
        <v/>
      </c>
      <c r="M259" s="144" t="s">
        <v>227</v>
      </c>
      <c r="N259" s="144"/>
      <c r="O259" s="118">
        <f>O258*100</f>
        <v>-19440</v>
      </c>
    </row>
    <row r="260" spans="12:15" x14ac:dyDescent="0.25">
      <c r="L260" s="30" t="str">
        <f t="shared" si="4"/>
        <v/>
      </c>
      <c r="M260" s="144"/>
      <c r="N260" s="144"/>
      <c r="O260" s="118"/>
    </row>
    <row r="261" spans="12:15" x14ac:dyDescent="0.25">
      <c r="L261" s="30" t="str">
        <f t="shared" ref="L261:L324" si="5">IF(M261=$R$41,$S$41,IF(M261=$R$42,$S$42,IF(M261=$R$43,$S$43,IF(M261=$R$44,$S$44,IF(M261=$R$45,$S$45,"")))))</f>
        <v/>
      </c>
      <c r="M261" s="153" t="s">
        <v>228</v>
      </c>
      <c r="N261" s="144"/>
      <c r="O261" s="145"/>
    </row>
    <row r="262" spans="12:15" x14ac:dyDescent="0.25">
      <c r="L262" s="30" t="str">
        <f t="shared" si="5"/>
        <v/>
      </c>
      <c r="M262" s="144" t="s">
        <v>229</v>
      </c>
      <c r="N262" s="144"/>
      <c r="O262" s="118">
        <f>IF(O10=1,O259,IF(O10=2,ROUNDDOWN(O259/12,0),IF(O10=3,ROUNDDOWN((O259*7)/360,0),ROUNDDOWN(O259/360,0))))</f>
        <v>-1620</v>
      </c>
    </row>
    <row r="263" spans="12:15" x14ac:dyDescent="0.25">
      <c r="L263" s="30" t="str">
        <f t="shared" si="5"/>
        <v>SOLZLZZ nach C30</v>
      </c>
      <c r="M263" s="144" t="s">
        <v>235</v>
      </c>
      <c r="N263" s="144"/>
      <c r="O263" s="118">
        <f>IF(O252&gt;O255,O262,0)</f>
        <v>0</v>
      </c>
    </row>
    <row r="264" spans="12:15" x14ac:dyDescent="0.25">
      <c r="L264" s="30" t="str">
        <f t="shared" si="5"/>
        <v/>
      </c>
      <c r="M264" s="144" t="s">
        <v>227</v>
      </c>
      <c r="N264" s="144"/>
      <c r="O264" s="118">
        <f>O252*100</f>
        <v>0</v>
      </c>
    </row>
    <row r="265" spans="12:15" x14ac:dyDescent="0.25">
      <c r="L265" s="30" t="str">
        <f t="shared" si="5"/>
        <v/>
      </c>
      <c r="M265" s="144"/>
      <c r="N265" s="144"/>
      <c r="O265" s="118"/>
    </row>
    <row r="266" spans="12:15" x14ac:dyDescent="0.25">
      <c r="L266" s="30" t="str">
        <f t="shared" si="5"/>
        <v/>
      </c>
      <c r="M266" s="153" t="s">
        <v>228</v>
      </c>
      <c r="N266" s="144"/>
      <c r="O266" s="145"/>
    </row>
    <row r="267" spans="12:15" x14ac:dyDescent="0.25">
      <c r="L267" s="30" t="str">
        <f t="shared" si="5"/>
        <v/>
      </c>
      <c r="M267" s="144" t="s">
        <v>229</v>
      </c>
      <c r="N267" s="144"/>
      <c r="O267" s="30">
        <f>IF(O10=1,O264,IF(O10=2,ROUNDDOWN(O264/12,0),IF(O10=3,ROUNDDOWN((O264*7)/360,0),ROUNDDOWN(O264/360,0))))</f>
        <v>0</v>
      </c>
    </row>
    <row r="268" spans="12:15" x14ac:dyDescent="0.25">
      <c r="L268" s="30" t="str">
        <f t="shared" si="5"/>
        <v>BK nach C29</v>
      </c>
      <c r="M268" s="144" t="s">
        <v>236</v>
      </c>
      <c r="N268" s="144"/>
      <c r="O268" s="30">
        <f>IF(O17&gt;0,O267,0)</f>
        <v>0</v>
      </c>
    </row>
    <row r="269" spans="12:15" x14ac:dyDescent="0.25">
      <c r="L269" s="30" t="str">
        <f t="shared" si="5"/>
        <v/>
      </c>
    </row>
    <row r="270" spans="12:15" x14ac:dyDescent="0.25">
      <c r="L270" s="30" t="str">
        <f t="shared" si="5"/>
        <v/>
      </c>
    </row>
    <row r="271" spans="12:15" x14ac:dyDescent="0.25">
      <c r="L271" s="30" t="str">
        <f t="shared" si="5"/>
        <v/>
      </c>
    </row>
    <row r="272" spans="12:15" x14ac:dyDescent="0.25">
      <c r="L272" s="30" t="str">
        <f t="shared" si="5"/>
        <v/>
      </c>
    </row>
    <row r="273" spans="12:12" x14ac:dyDescent="0.25">
      <c r="L273" s="30" t="str">
        <f t="shared" si="5"/>
        <v/>
      </c>
    </row>
    <row r="274" spans="12:12" x14ac:dyDescent="0.25">
      <c r="L274" s="30" t="str">
        <f t="shared" si="5"/>
        <v/>
      </c>
    </row>
    <row r="275" spans="12:12" x14ac:dyDescent="0.25">
      <c r="L275" s="30" t="str">
        <f t="shared" si="5"/>
        <v/>
      </c>
    </row>
    <row r="276" spans="12:12" x14ac:dyDescent="0.25">
      <c r="L276" s="30" t="str">
        <f t="shared" si="5"/>
        <v/>
      </c>
    </row>
    <row r="277" spans="12:12" x14ac:dyDescent="0.25">
      <c r="L277" s="30" t="str">
        <f t="shared" si="5"/>
        <v/>
      </c>
    </row>
    <row r="278" spans="12:12" x14ac:dyDescent="0.25">
      <c r="L278" s="30" t="str">
        <f t="shared" si="5"/>
        <v/>
      </c>
    </row>
    <row r="279" spans="12:12" x14ac:dyDescent="0.25">
      <c r="L279" s="30" t="str">
        <f t="shared" si="5"/>
        <v/>
      </c>
    </row>
    <row r="280" spans="12:12" x14ac:dyDescent="0.25">
      <c r="L280" s="30" t="str">
        <f t="shared" si="5"/>
        <v/>
      </c>
    </row>
    <row r="281" spans="12:12" x14ac:dyDescent="0.25">
      <c r="L281" s="30" t="str">
        <f t="shared" si="5"/>
        <v/>
      </c>
    </row>
    <row r="282" spans="12:12" x14ac:dyDescent="0.25">
      <c r="L282" s="30" t="str">
        <f t="shared" si="5"/>
        <v/>
      </c>
    </row>
    <row r="283" spans="12:12" x14ac:dyDescent="0.25">
      <c r="L283" s="30" t="str">
        <f t="shared" si="5"/>
        <v/>
      </c>
    </row>
    <row r="284" spans="12:12" x14ac:dyDescent="0.25">
      <c r="L284" s="30" t="str">
        <f t="shared" si="5"/>
        <v/>
      </c>
    </row>
    <row r="285" spans="12:12" x14ac:dyDescent="0.25">
      <c r="L285" s="30" t="str">
        <f t="shared" si="5"/>
        <v/>
      </c>
    </row>
    <row r="286" spans="12:12" x14ac:dyDescent="0.25">
      <c r="L286" s="30" t="str">
        <f t="shared" si="5"/>
        <v/>
      </c>
    </row>
    <row r="287" spans="12:12" x14ac:dyDescent="0.25">
      <c r="L287" s="30" t="str">
        <f t="shared" si="5"/>
        <v/>
      </c>
    </row>
    <row r="288" spans="12:12" x14ac:dyDescent="0.25">
      <c r="L288" s="30" t="str">
        <f t="shared" si="5"/>
        <v/>
      </c>
    </row>
    <row r="289" spans="12:12" x14ac:dyDescent="0.25">
      <c r="L289" s="30" t="str">
        <f t="shared" si="5"/>
        <v/>
      </c>
    </row>
    <row r="290" spans="12:12" x14ac:dyDescent="0.25">
      <c r="L290" s="30" t="str">
        <f t="shared" si="5"/>
        <v/>
      </c>
    </row>
    <row r="291" spans="12:12" x14ac:dyDescent="0.25">
      <c r="L291" s="30" t="str">
        <f t="shared" si="5"/>
        <v/>
      </c>
    </row>
    <row r="292" spans="12:12" x14ac:dyDescent="0.25">
      <c r="L292" s="30" t="str">
        <f t="shared" si="5"/>
        <v/>
      </c>
    </row>
    <row r="293" spans="12:12" x14ac:dyDescent="0.25">
      <c r="L293" s="30" t="str">
        <f t="shared" si="5"/>
        <v/>
      </c>
    </row>
    <row r="294" spans="12:12" x14ac:dyDescent="0.25">
      <c r="L294" s="30" t="str">
        <f t="shared" si="5"/>
        <v/>
      </c>
    </row>
    <row r="295" spans="12:12" x14ac:dyDescent="0.25">
      <c r="L295" s="30" t="str">
        <f t="shared" si="5"/>
        <v/>
      </c>
    </row>
    <row r="296" spans="12:12" x14ac:dyDescent="0.25">
      <c r="L296" s="30" t="str">
        <f t="shared" si="5"/>
        <v/>
      </c>
    </row>
    <row r="297" spans="12:12" x14ac:dyDescent="0.25">
      <c r="L297" s="30" t="str">
        <f t="shared" si="5"/>
        <v/>
      </c>
    </row>
    <row r="298" spans="12:12" x14ac:dyDescent="0.25">
      <c r="L298" s="30" t="str">
        <f t="shared" si="5"/>
        <v/>
      </c>
    </row>
    <row r="299" spans="12:12" x14ac:dyDescent="0.25">
      <c r="L299" s="30" t="str">
        <f t="shared" si="5"/>
        <v/>
      </c>
    </row>
    <row r="300" spans="12:12" x14ac:dyDescent="0.25">
      <c r="L300" s="30" t="str">
        <f t="shared" si="5"/>
        <v/>
      </c>
    </row>
    <row r="301" spans="12:12" x14ac:dyDescent="0.25">
      <c r="L301" s="30" t="str">
        <f t="shared" si="5"/>
        <v/>
      </c>
    </row>
    <row r="302" spans="12:12" x14ac:dyDescent="0.25">
      <c r="L302" s="30" t="str">
        <f t="shared" si="5"/>
        <v/>
      </c>
    </row>
    <row r="303" spans="12:12" x14ac:dyDescent="0.25">
      <c r="L303" s="30" t="str">
        <f t="shared" si="5"/>
        <v/>
      </c>
    </row>
    <row r="304" spans="12:12" x14ac:dyDescent="0.25">
      <c r="L304" s="30" t="str">
        <f t="shared" si="5"/>
        <v/>
      </c>
    </row>
    <row r="305" spans="12:12" x14ac:dyDescent="0.25">
      <c r="L305" s="30" t="str">
        <f t="shared" si="5"/>
        <v/>
      </c>
    </row>
    <row r="306" spans="12:12" x14ac:dyDescent="0.25">
      <c r="L306" s="30" t="str">
        <f t="shared" si="5"/>
        <v/>
      </c>
    </row>
    <row r="307" spans="12:12" x14ac:dyDescent="0.25">
      <c r="L307" s="30" t="str">
        <f t="shared" si="5"/>
        <v/>
      </c>
    </row>
    <row r="308" spans="12:12" x14ac:dyDescent="0.25">
      <c r="L308" s="30" t="str">
        <f t="shared" si="5"/>
        <v/>
      </c>
    </row>
    <row r="309" spans="12:12" x14ac:dyDescent="0.25">
      <c r="L309" s="30" t="str">
        <f t="shared" si="5"/>
        <v/>
      </c>
    </row>
    <row r="310" spans="12:12" x14ac:dyDescent="0.25">
      <c r="L310" s="30" t="str">
        <f t="shared" si="5"/>
        <v/>
      </c>
    </row>
    <row r="311" spans="12:12" x14ac:dyDescent="0.25">
      <c r="L311" s="30" t="str">
        <f t="shared" si="5"/>
        <v/>
      </c>
    </row>
    <row r="312" spans="12:12" x14ac:dyDescent="0.25">
      <c r="L312" s="30" t="str">
        <f t="shared" si="5"/>
        <v/>
      </c>
    </row>
    <row r="313" spans="12:12" x14ac:dyDescent="0.25">
      <c r="L313" s="30" t="str">
        <f t="shared" si="5"/>
        <v/>
      </c>
    </row>
    <row r="314" spans="12:12" x14ac:dyDescent="0.25">
      <c r="L314" s="30" t="str">
        <f t="shared" si="5"/>
        <v/>
      </c>
    </row>
    <row r="315" spans="12:12" x14ac:dyDescent="0.25">
      <c r="L315" s="30" t="str">
        <f t="shared" si="5"/>
        <v/>
      </c>
    </row>
    <row r="316" spans="12:12" x14ac:dyDescent="0.25">
      <c r="L316" s="30" t="str">
        <f t="shared" si="5"/>
        <v/>
      </c>
    </row>
    <row r="317" spans="12:12" x14ac:dyDescent="0.25">
      <c r="L317" s="30" t="str">
        <f t="shared" si="5"/>
        <v/>
      </c>
    </row>
    <row r="318" spans="12:12" x14ac:dyDescent="0.25">
      <c r="L318" s="30" t="str">
        <f t="shared" si="5"/>
        <v/>
      </c>
    </row>
    <row r="319" spans="12:12" x14ac:dyDescent="0.25">
      <c r="L319" s="30" t="str">
        <f t="shared" si="5"/>
        <v/>
      </c>
    </row>
    <row r="320" spans="12:12" x14ac:dyDescent="0.25">
      <c r="L320" s="30" t="str">
        <f t="shared" si="5"/>
        <v/>
      </c>
    </row>
    <row r="321" spans="12:12" x14ac:dyDescent="0.25">
      <c r="L321" s="30" t="str">
        <f t="shared" si="5"/>
        <v/>
      </c>
    </row>
    <row r="322" spans="12:12" x14ac:dyDescent="0.25">
      <c r="L322" s="30" t="str">
        <f t="shared" si="5"/>
        <v/>
      </c>
    </row>
    <row r="323" spans="12:12" x14ac:dyDescent="0.25">
      <c r="L323" s="30" t="str">
        <f t="shared" si="5"/>
        <v/>
      </c>
    </row>
    <row r="324" spans="12:12" x14ac:dyDescent="0.25">
      <c r="L324" s="30" t="str">
        <f t="shared" si="5"/>
        <v/>
      </c>
    </row>
    <row r="325" spans="12:12" x14ac:dyDescent="0.25">
      <c r="L325" s="30" t="str">
        <f t="shared" ref="L325:L388" si="6">IF(M325=$R$41,$S$41,IF(M325=$R$42,$S$42,IF(M325=$R$43,$S$43,IF(M325=$R$44,$S$44,IF(M325=$R$45,$S$45,"")))))</f>
        <v/>
      </c>
    </row>
    <row r="326" spans="12:12" x14ac:dyDescent="0.25">
      <c r="L326" s="30" t="str">
        <f t="shared" si="6"/>
        <v/>
      </c>
    </row>
    <row r="327" spans="12:12" x14ac:dyDescent="0.25">
      <c r="L327" s="30" t="str">
        <f t="shared" si="6"/>
        <v/>
      </c>
    </row>
    <row r="328" spans="12:12" x14ac:dyDescent="0.25">
      <c r="L328" s="30" t="str">
        <f t="shared" si="6"/>
        <v/>
      </c>
    </row>
    <row r="329" spans="12:12" x14ac:dyDescent="0.25">
      <c r="L329" s="30" t="str">
        <f t="shared" si="6"/>
        <v/>
      </c>
    </row>
    <row r="330" spans="12:12" x14ac:dyDescent="0.25">
      <c r="L330" s="30" t="str">
        <f t="shared" si="6"/>
        <v/>
      </c>
    </row>
    <row r="331" spans="12:12" x14ac:dyDescent="0.25">
      <c r="L331" s="30" t="str">
        <f t="shared" si="6"/>
        <v/>
      </c>
    </row>
    <row r="332" spans="12:12" x14ac:dyDescent="0.25">
      <c r="L332" s="30" t="str">
        <f t="shared" si="6"/>
        <v/>
      </c>
    </row>
    <row r="333" spans="12:12" x14ac:dyDescent="0.25">
      <c r="L333" s="30" t="str">
        <f t="shared" si="6"/>
        <v/>
      </c>
    </row>
    <row r="334" spans="12:12" x14ac:dyDescent="0.25">
      <c r="L334" s="30" t="str">
        <f t="shared" si="6"/>
        <v/>
      </c>
    </row>
    <row r="335" spans="12:12" x14ac:dyDescent="0.25">
      <c r="L335" s="30" t="str">
        <f t="shared" si="6"/>
        <v/>
      </c>
    </row>
    <row r="336" spans="12:12" x14ac:dyDescent="0.25">
      <c r="L336" s="30" t="str">
        <f t="shared" si="6"/>
        <v/>
      </c>
    </row>
    <row r="337" spans="12:12" x14ac:dyDescent="0.25">
      <c r="L337" s="30" t="str">
        <f t="shared" si="6"/>
        <v/>
      </c>
    </row>
    <row r="338" spans="12:12" x14ac:dyDescent="0.25">
      <c r="L338" s="30" t="str">
        <f t="shared" si="6"/>
        <v/>
      </c>
    </row>
    <row r="339" spans="12:12" x14ac:dyDescent="0.25">
      <c r="L339" s="30" t="str">
        <f t="shared" si="6"/>
        <v/>
      </c>
    </row>
    <row r="340" spans="12:12" x14ac:dyDescent="0.25">
      <c r="L340" s="30" t="str">
        <f t="shared" si="6"/>
        <v/>
      </c>
    </row>
    <row r="341" spans="12:12" x14ac:dyDescent="0.25">
      <c r="L341" s="30" t="str">
        <f t="shared" si="6"/>
        <v/>
      </c>
    </row>
    <row r="342" spans="12:12" x14ac:dyDescent="0.25">
      <c r="L342" s="30" t="str">
        <f t="shared" si="6"/>
        <v/>
      </c>
    </row>
    <row r="343" spans="12:12" x14ac:dyDescent="0.25">
      <c r="L343" s="30" t="str">
        <f t="shared" si="6"/>
        <v/>
      </c>
    </row>
    <row r="344" spans="12:12" x14ac:dyDescent="0.25">
      <c r="L344" s="30" t="str">
        <f t="shared" si="6"/>
        <v/>
      </c>
    </row>
    <row r="345" spans="12:12" x14ac:dyDescent="0.25">
      <c r="L345" s="30" t="str">
        <f t="shared" si="6"/>
        <v/>
      </c>
    </row>
    <row r="346" spans="12:12" x14ac:dyDescent="0.25">
      <c r="L346" s="30" t="str">
        <f t="shared" si="6"/>
        <v/>
      </c>
    </row>
    <row r="347" spans="12:12" x14ac:dyDescent="0.25">
      <c r="L347" s="30" t="str">
        <f t="shared" si="6"/>
        <v/>
      </c>
    </row>
    <row r="348" spans="12:12" x14ac:dyDescent="0.25">
      <c r="L348" s="30" t="str">
        <f t="shared" si="6"/>
        <v/>
      </c>
    </row>
    <row r="349" spans="12:12" x14ac:dyDescent="0.25">
      <c r="L349" s="30" t="str">
        <f t="shared" si="6"/>
        <v/>
      </c>
    </row>
    <row r="350" spans="12:12" x14ac:dyDescent="0.25">
      <c r="L350" s="30" t="str">
        <f t="shared" si="6"/>
        <v/>
      </c>
    </row>
    <row r="351" spans="12:12" x14ac:dyDescent="0.25">
      <c r="L351" s="30" t="str">
        <f t="shared" si="6"/>
        <v/>
      </c>
    </row>
    <row r="352" spans="12:12" x14ac:dyDescent="0.25">
      <c r="L352" s="30" t="str">
        <f t="shared" si="6"/>
        <v/>
      </c>
    </row>
    <row r="353" spans="12:12" x14ac:dyDescent="0.25">
      <c r="L353" s="30" t="str">
        <f t="shared" si="6"/>
        <v/>
      </c>
    </row>
    <row r="354" spans="12:12" x14ac:dyDescent="0.25">
      <c r="L354" s="30" t="str">
        <f t="shared" si="6"/>
        <v/>
      </c>
    </row>
    <row r="355" spans="12:12" x14ac:dyDescent="0.25">
      <c r="L355" s="30" t="str">
        <f t="shared" si="6"/>
        <v/>
      </c>
    </row>
    <row r="356" spans="12:12" x14ac:dyDescent="0.25">
      <c r="L356" s="30" t="str">
        <f t="shared" si="6"/>
        <v/>
      </c>
    </row>
    <row r="357" spans="12:12" x14ac:dyDescent="0.25">
      <c r="L357" s="30" t="str">
        <f t="shared" si="6"/>
        <v/>
      </c>
    </row>
    <row r="358" spans="12:12" x14ac:dyDescent="0.25">
      <c r="L358" s="30" t="str">
        <f t="shared" si="6"/>
        <v/>
      </c>
    </row>
    <row r="359" spans="12:12" x14ac:dyDescent="0.25">
      <c r="L359" s="30" t="str">
        <f t="shared" si="6"/>
        <v/>
      </c>
    </row>
    <row r="360" spans="12:12" x14ac:dyDescent="0.25">
      <c r="L360" s="30" t="str">
        <f t="shared" si="6"/>
        <v/>
      </c>
    </row>
    <row r="361" spans="12:12" x14ac:dyDescent="0.25">
      <c r="L361" s="30" t="str">
        <f t="shared" si="6"/>
        <v/>
      </c>
    </row>
    <row r="362" spans="12:12" x14ac:dyDescent="0.25">
      <c r="L362" s="30" t="str">
        <f t="shared" si="6"/>
        <v/>
      </c>
    </row>
    <row r="363" spans="12:12" x14ac:dyDescent="0.25">
      <c r="L363" s="30" t="str">
        <f t="shared" si="6"/>
        <v/>
      </c>
    </row>
    <row r="364" spans="12:12" x14ac:dyDescent="0.25">
      <c r="L364" s="30" t="str">
        <f t="shared" si="6"/>
        <v/>
      </c>
    </row>
    <row r="365" spans="12:12" x14ac:dyDescent="0.25">
      <c r="L365" s="30" t="str">
        <f t="shared" si="6"/>
        <v/>
      </c>
    </row>
    <row r="366" spans="12:12" x14ac:dyDescent="0.25">
      <c r="L366" s="30" t="str">
        <f t="shared" si="6"/>
        <v/>
      </c>
    </row>
    <row r="367" spans="12:12" x14ac:dyDescent="0.25">
      <c r="L367" s="30" t="str">
        <f t="shared" si="6"/>
        <v/>
      </c>
    </row>
    <row r="368" spans="12:12" x14ac:dyDescent="0.25">
      <c r="L368" s="30" t="str">
        <f t="shared" si="6"/>
        <v/>
      </c>
    </row>
    <row r="369" spans="12:12" x14ac:dyDescent="0.25">
      <c r="L369" s="30" t="str">
        <f t="shared" si="6"/>
        <v/>
      </c>
    </row>
    <row r="370" spans="12:12" x14ac:dyDescent="0.25">
      <c r="L370" s="30" t="str">
        <f t="shared" si="6"/>
        <v/>
      </c>
    </row>
    <row r="371" spans="12:12" x14ac:dyDescent="0.25">
      <c r="L371" s="30" t="str">
        <f t="shared" si="6"/>
        <v/>
      </c>
    </row>
    <row r="372" spans="12:12" x14ac:dyDescent="0.25">
      <c r="L372" s="30" t="str">
        <f t="shared" si="6"/>
        <v/>
      </c>
    </row>
    <row r="373" spans="12:12" x14ac:dyDescent="0.25">
      <c r="L373" s="30" t="str">
        <f t="shared" si="6"/>
        <v/>
      </c>
    </row>
    <row r="374" spans="12:12" x14ac:dyDescent="0.25">
      <c r="L374" s="30" t="str">
        <f t="shared" si="6"/>
        <v/>
      </c>
    </row>
    <row r="375" spans="12:12" x14ac:dyDescent="0.25">
      <c r="L375" s="30" t="str">
        <f t="shared" si="6"/>
        <v/>
      </c>
    </row>
    <row r="376" spans="12:12" x14ac:dyDescent="0.25">
      <c r="L376" s="30" t="str">
        <f t="shared" si="6"/>
        <v/>
      </c>
    </row>
    <row r="377" spans="12:12" x14ac:dyDescent="0.25">
      <c r="L377" s="30" t="str">
        <f t="shared" si="6"/>
        <v/>
      </c>
    </row>
    <row r="378" spans="12:12" x14ac:dyDescent="0.25">
      <c r="L378" s="30" t="str">
        <f t="shared" si="6"/>
        <v/>
      </c>
    </row>
    <row r="379" spans="12:12" x14ac:dyDescent="0.25">
      <c r="L379" s="30" t="str">
        <f t="shared" si="6"/>
        <v/>
      </c>
    </row>
    <row r="380" spans="12:12" x14ac:dyDescent="0.25">
      <c r="L380" s="30" t="str">
        <f t="shared" si="6"/>
        <v/>
      </c>
    </row>
    <row r="381" spans="12:12" x14ac:dyDescent="0.25">
      <c r="L381" s="30" t="str">
        <f t="shared" si="6"/>
        <v/>
      </c>
    </row>
    <row r="382" spans="12:12" x14ac:dyDescent="0.25">
      <c r="L382" s="30" t="str">
        <f t="shared" si="6"/>
        <v/>
      </c>
    </row>
    <row r="383" spans="12:12" x14ac:dyDescent="0.25">
      <c r="L383" s="30" t="str">
        <f t="shared" si="6"/>
        <v/>
      </c>
    </row>
    <row r="384" spans="12:12" x14ac:dyDescent="0.25">
      <c r="L384" s="30" t="str">
        <f t="shared" si="6"/>
        <v/>
      </c>
    </row>
    <row r="385" spans="12:12" x14ac:dyDescent="0.25">
      <c r="L385" s="30" t="str">
        <f t="shared" si="6"/>
        <v/>
      </c>
    </row>
    <row r="386" spans="12:12" x14ac:dyDescent="0.25">
      <c r="L386" s="30" t="str">
        <f t="shared" si="6"/>
        <v/>
      </c>
    </row>
    <row r="387" spans="12:12" x14ac:dyDescent="0.25">
      <c r="L387" s="30" t="str">
        <f t="shared" si="6"/>
        <v/>
      </c>
    </row>
    <row r="388" spans="12:12" x14ac:dyDescent="0.25">
      <c r="L388" s="30" t="str">
        <f t="shared" si="6"/>
        <v/>
      </c>
    </row>
    <row r="389" spans="12:12" x14ac:dyDescent="0.25">
      <c r="L389" s="30" t="str">
        <f t="shared" ref="L389:L452" si="7">IF(M389=$R$41,$S$41,IF(M389=$R$42,$S$42,IF(M389=$R$43,$S$43,IF(M389=$R$44,$S$44,IF(M389=$R$45,$S$45,"")))))</f>
        <v/>
      </c>
    </row>
    <row r="390" spans="12:12" x14ac:dyDescent="0.25">
      <c r="L390" s="30" t="str">
        <f t="shared" si="7"/>
        <v/>
      </c>
    </row>
    <row r="391" spans="12:12" x14ac:dyDescent="0.25">
      <c r="L391" s="30" t="str">
        <f t="shared" si="7"/>
        <v/>
      </c>
    </row>
    <row r="392" spans="12:12" x14ac:dyDescent="0.25">
      <c r="L392" s="30" t="str">
        <f t="shared" si="7"/>
        <v/>
      </c>
    </row>
    <row r="393" spans="12:12" x14ac:dyDescent="0.25">
      <c r="L393" s="30" t="str">
        <f t="shared" si="7"/>
        <v/>
      </c>
    </row>
    <row r="394" spans="12:12" x14ac:dyDescent="0.25">
      <c r="L394" s="30" t="str">
        <f t="shared" si="7"/>
        <v/>
      </c>
    </row>
    <row r="395" spans="12:12" x14ac:dyDescent="0.25">
      <c r="L395" s="30" t="str">
        <f t="shared" si="7"/>
        <v/>
      </c>
    </row>
    <row r="396" spans="12:12" x14ac:dyDescent="0.25">
      <c r="L396" s="30" t="str">
        <f t="shared" si="7"/>
        <v/>
      </c>
    </row>
    <row r="397" spans="12:12" x14ac:dyDescent="0.25">
      <c r="L397" s="30" t="str">
        <f t="shared" si="7"/>
        <v/>
      </c>
    </row>
    <row r="398" spans="12:12" x14ac:dyDescent="0.25">
      <c r="L398" s="30" t="str">
        <f t="shared" si="7"/>
        <v/>
      </c>
    </row>
    <row r="399" spans="12:12" x14ac:dyDescent="0.25">
      <c r="L399" s="30" t="str">
        <f t="shared" si="7"/>
        <v/>
      </c>
    </row>
    <row r="400" spans="12:12" x14ac:dyDescent="0.25">
      <c r="L400" s="30" t="str">
        <f t="shared" si="7"/>
        <v/>
      </c>
    </row>
    <row r="401" spans="12:12" x14ac:dyDescent="0.25">
      <c r="L401" s="30" t="str">
        <f t="shared" si="7"/>
        <v/>
      </c>
    </row>
    <row r="402" spans="12:12" x14ac:dyDescent="0.25">
      <c r="L402" s="30" t="str">
        <f t="shared" si="7"/>
        <v/>
      </c>
    </row>
    <row r="403" spans="12:12" x14ac:dyDescent="0.25">
      <c r="L403" s="30" t="str">
        <f t="shared" si="7"/>
        <v/>
      </c>
    </row>
    <row r="404" spans="12:12" x14ac:dyDescent="0.25">
      <c r="L404" s="30" t="str">
        <f t="shared" si="7"/>
        <v/>
      </c>
    </row>
    <row r="405" spans="12:12" x14ac:dyDescent="0.25">
      <c r="L405" s="30" t="str">
        <f t="shared" si="7"/>
        <v/>
      </c>
    </row>
    <row r="406" spans="12:12" x14ac:dyDescent="0.25">
      <c r="L406" s="30" t="str">
        <f t="shared" si="7"/>
        <v/>
      </c>
    </row>
    <row r="407" spans="12:12" x14ac:dyDescent="0.25">
      <c r="L407" s="30" t="str">
        <f t="shared" si="7"/>
        <v/>
      </c>
    </row>
    <row r="408" spans="12:12" x14ac:dyDescent="0.25">
      <c r="L408" s="30" t="str">
        <f t="shared" si="7"/>
        <v/>
      </c>
    </row>
    <row r="409" spans="12:12" x14ac:dyDescent="0.25">
      <c r="L409" s="30" t="str">
        <f t="shared" si="7"/>
        <v/>
      </c>
    </row>
    <row r="410" spans="12:12" x14ac:dyDescent="0.25">
      <c r="L410" s="30" t="str">
        <f t="shared" si="7"/>
        <v/>
      </c>
    </row>
    <row r="411" spans="12:12" x14ac:dyDescent="0.25">
      <c r="L411" s="30" t="str">
        <f t="shared" si="7"/>
        <v/>
      </c>
    </row>
    <row r="412" spans="12:12" x14ac:dyDescent="0.25">
      <c r="L412" s="30" t="str">
        <f t="shared" si="7"/>
        <v/>
      </c>
    </row>
    <row r="413" spans="12:12" x14ac:dyDescent="0.25">
      <c r="L413" s="30" t="str">
        <f t="shared" si="7"/>
        <v/>
      </c>
    </row>
    <row r="414" spans="12:12" x14ac:dyDescent="0.25">
      <c r="L414" s="30" t="str">
        <f t="shared" si="7"/>
        <v/>
      </c>
    </row>
    <row r="415" spans="12:12" x14ac:dyDescent="0.25">
      <c r="L415" s="30" t="str">
        <f t="shared" si="7"/>
        <v/>
      </c>
    </row>
    <row r="416" spans="12:12" x14ac:dyDescent="0.25">
      <c r="L416" s="30" t="str">
        <f t="shared" si="7"/>
        <v/>
      </c>
    </row>
    <row r="417" spans="12:12" x14ac:dyDescent="0.25">
      <c r="L417" s="30" t="str">
        <f t="shared" si="7"/>
        <v/>
      </c>
    </row>
    <row r="418" spans="12:12" x14ac:dyDescent="0.25">
      <c r="L418" s="30" t="str">
        <f t="shared" si="7"/>
        <v/>
      </c>
    </row>
    <row r="419" spans="12:12" x14ac:dyDescent="0.25">
      <c r="L419" s="30" t="str">
        <f t="shared" si="7"/>
        <v/>
      </c>
    </row>
    <row r="420" spans="12:12" x14ac:dyDescent="0.25">
      <c r="L420" s="30" t="str">
        <f t="shared" si="7"/>
        <v/>
      </c>
    </row>
    <row r="421" spans="12:12" x14ac:dyDescent="0.25">
      <c r="L421" s="30" t="str">
        <f t="shared" si="7"/>
        <v/>
      </c>
    </row>
    <row r="422" spans="12:12" x14ac:dyDescent="0.25">
      <c r="L422" s="30" t="str">
        <f t="shared" si="7"/>
        <v/>
      </c>
    </row>
    <row r="423" spans="12:12" x14ac:dyDescent="0.25">
      <c r="L423" s="30" t="str">
        <f t="shared" si="7"/>
        <v/>
      </c>
    </row>
    <row r="424" spans="12:12" x14ac:dyDescent="0.25">
      <c r="L424" s="30" t="str">
        <f t="shared" si="7"/>
        <v/>
      </c>
    </row>
    <row r="425" spans="12:12" x14ac:dyDescent="0.25">
      <c r="L425" s="30" t="str">
        <f t="shared" si="7"/>
        <v/>
      </c>
    </row>
    <row r="426" spans="12:12" x14ac:dyDescent="0.25">
      <c r="L426" s="30" t="str">
        <f t="shared" si="7"/>
        <v/>
      </c>
    </row>
    <row r="427" spans="12:12" x14ac:dyDescent="0.25">
      <c r="L427" s="30" t="str">
        <f t="shared" si="7"/>
        <v/>
      </c>
    </row>
    <row r="428" spans="12:12" x14ac:dyDescent="0.25">
      <c r="L428" s="30" t="str">
        <f t="shared" si="7"/>
        <v/>
      </c>
    </row>
    <row r="429" spans="12:12" x14ac:dyDescent="0.25">
      <c r="L429" s="30" t="str">
        <f t="shared" si="7"/>
        <v/>
      </c>
    </row>
    <row r="430" spans="12:12" x14ac:dyDescent="0.25">
      <c r="L430" s="30" t="str">
        <f t="shared" si="7"/>
        <v/>
      </c>
    </row>
    <row r="431" spans="12:12" x14ac:dyDescent="0.25">
      <c r="L431" s="30" t="str">
        <f t="shared" si="7"/>
        <v/>
      </c>
    </row>
    <row r="432" spans="12:12" x14ac:dyDescent="0.25">
      <c r="L432" s="30" t="str">
        <f t="shared" si="7"/>
        <v/>
      </c>
    </row>
    <row r="433" spans="12:12" x14ac:dyDescent="0.25">
      <c r="L433" s="30" t="str">
        <f t="shared" si="7"/>
        <v/>
      </c>
    </row>
    <row r="434" spans="12:12" x14ac:dyDescent="0.25">
      <c r="L434" s="30" t="str">
        <f t="shared" si="7"/>
        <v/>
      </c>
    </row>
    <row r="435" spans="12:12" x14ac:dyDescent="0.25">
      <c r="L435" s="30" t="str">
        <f t="shared" si="7"/>
        <v/>
      </c>
    </row>
    <row r="436" spans="12:12" x14ac:dyDescent="0.25">
      <c r="L436" s="30" t="str">
        <f t="shared" si="7"/>
        <v/>
      </c>
    </row>
    <row r="437" spans="12:12" x14ac:dyDescent="0.25">
      <c r="L437" s="30" t="str">
        <f t="shared" si="7"/>
        <v/>
      </c>
    </row>
    <row r="438" spans="12:12" x14ac:dyDescent="0.25">
      <c r="L438" s="30" t="str">
        <f t="shared" si="7"/>
        <v/>
      </c>
    </row>
    <row r="439" spans="12:12" x14ac:dyDescent="0.25">
      <c r="L439" s="30" t="str">
        <f t="shared" si="7"/>
        <v/>
      </c>
    </row>
    <row r="440" spans="12:12" x14ac:dyDescent="0.25">
      <c r="L440" s="30" t="str">
        <f t="shared" si="7"/>
        <v/>
      </c>
    </row>
    <row r="441" spans="12:12" x14ac:dyDescent="0.25">
      <c r="L441" s="30" t="str">
        <f t="shared" si="7"/>
        <v/>
      </c>
    </row>
    <row r="442" spans="12:12" x14ac:dyDescent="0.25">
      <c r="L442" s="30" t="str">
        <f t="shared" si="7"/>
        <v/>
      </c>
    </row>
    <row r="443" spans="12:12" x14ac:dyDescent="0.25">
      <c r="L443" s="30" t="str">
        <f t="shared" si="7"/>
        <v/>
      </c>
    </row>
    <row r="444" spans="12:12" x14ac:dyDescent="0.25">
      <c r="L444" s="30" t="str">
        <f t="shared" si="7"/>
        <v/>
      </c>
    </row>
    <row r="445" spans="12:12" x14ac:dyDescent="0.25">
      <c r="L445" s="30" t="str">
        <f t="shared" si="7"/>
        <v/>
      </c>
    </row>
    <row r="446" spans="12:12" x14ac:dyDescent="0.25">
      <c r="L446" s="30" t="str">
        <f t="shared" si="7"/>
        <v/>
      </c>
    </row>
    <row r="447" spans="12:12" x14ac:dyDescent="0.25">
      <c r="L447" s="30" t="str">
        <f t="shared" si="7"/>
        <v/>
      </c>
    </row>
    <row r="448" spans="12:12" x14ac:dyDescent="0.25">
      <c r="L448" s="30" t="str">
        <f t="shared" si="7"/>
        <v/>
      </c>
    </row>
    <row r="449" spans="12:12" x14ac:dyDescent="0.25">
      <c r="L449" s="30" t="str">
        <f t="shared" si="7"/>
        <v/>
      </c>
    </row>
    <row r="450" spans="12:12" x14ac:dyDescent="0.25">
      <c r="L450" s="30" t="str">
        <f t="shared" si="7"/>
        <v/>
      </c>
    </row>
    <row r="451" spans="12:12" x14ac:dyDescent="0.25">
      <c r="L451" s="30" t="str">
        <f t="shared" si="7"/>
        <v/>
      </c>
    </row>
    <row r="452" spans="12:12" x14ac:dyDescent="0.25">
      <c r="L452" s="30" t="str">
        <f t="shared" si="7"/>
        <v/>
      </c>
    </row>
    <row r="453" spans="12:12" x14ac:dyDescent="0.25">
      <c r="L453" s="30" t="str">
        <f t="shared" ref="L453:L500" si="8">IF(M453=$R$41,$S$41,IF(M453=$R$42,$S$42,IF(M453=$R$43,$S$43,IF(M453=$R$44,$S$44,IF(M453=$R$45,$S$45,"")))))</f>
        <v/>
      </c>
    </row>
    <row r="454" spans="12:12" x14ac:dyDescent="0.25">
      <c r="L454" s="30" t="str">
        <f t="shared" si="8"/>
        <v/>
      </c>
    </row>
    <row r="455" spans="12:12" x14ac:dyDescent="0.25">
      <c r="L455" s="30" t="str">
        <f t="shared" si="8"/>
        <v/>
      </c>
    </row>
    <row r="456" spans="12:12" x14ac:dyDescent="0.25">
      <c r="L456" s="30" t="str">
        <f t="shared" si="8"/>
        <v/>
      </c>
    </row>
    <row r="457" spans="12:12" x14ac:dyDescent="0.25">
      <c r="L457" s="30" t="str">
        <f t="shared" si="8"/>
        <v/>
      </c>
    </row>
    <row r="458" spans="12:12" x14ac:dyDescent="0.25">
      <c r="L458" s="30" t="str">
        <f t="shared" si="8"/>
        <v/>
      </c>
    </row>
    <row r="459" spans="12:12" x14ac:dyDescent="0.25">
      <c r="L459" s="30" t="str">
        <f t="shared" si="8"/>
        <v/>
      </c>
    </row>
    <row r="460" spans="12:12" x14ac:dyDescent="0.25">
      <c r="L460" s="30" t="str">
        <f t="shared" si="8"/>
        <v/>
      </c>
    </row>
    <row r="461" spans="12:12" x14ac:dyDescent="0.25">
      <c r="L461" s="30" t="str">
        <f t="shared" si="8"/>
        <v/>
      </c>
    </row>
    <row r="462" spans="12:12" x14ac:dyDescent="0.25">
      <c r="L462" s="30" t="str">
        <f t="shared" si="8"/>
        <v/>
      </c>
    </row>
    <row r="463" spans="12:12" x14ac:dyDescent="0.25">
      <c r="L463" s="30" t="str">
        <f t="shared" si="8"/>
        <v/>
      </c>
    </row>
    <row r="464" spans="12:12" x14ac:dyDescent="0.25">
      <c r="L464" s="30" t="str">
        <f t="shared" si="8"/>
        <v/>
      </c>
    </row>
    <row r="465" spans="12:12" x14ac:dyDescent="0.25">
      <c r="L465" s="30" t="str">
        <f t="shared" si="8"/>
        <v/>
      </c>
    </row>
    <row r="466" spans="12:12" x14ac:dyDescent="0.25">
      <c r="L466" s="30" t="str">
        <f t="shared" si="8"/>
        <v/>
      </c>
    </row>
    <row r="467" spans="12:12" x14ac:dyDescent="0.25">
      <c r="L467" s="30" t="str">
        <f t="shared" si="8"/>
        <v/>
      </c>
    </row>
    <row r="468" spans="12:12" x14ac:dyDescent="0.25">
      <c r="L468" s="30" t="str">
        <f t="shared" si="8"/>
        <v/>
      </c>
    </row>
    <row r="469" spans="12:12" x14ac:dyDescent="0.25">
      <c r="L469" s="30" t="str">
        <f t="shared" si="8"/>
        <v/>
      </c>
    </row>
    <row r="470" spans="12:12" x14ac:dyDescent="0.25">
      <c r="L470" s="30" t="str">
        <f t="shared" si="8"/>
        <v/>
      </c>
    </row>
    <row r="471" spans="12:12" x14ac:dyDescent="0.25">
      <c r="L471" s="30" t="str">
        <f t="shared" si="8"/>
        <v/>
      </c>
    </row>
    <row r="472" spans="12:12" x14ac:dyDescent="0.25">
      <c r="L472" s="30" t="str">
        <f t="shared" si="8"/>
        <v/>
      </c>
    </row>
    <row r="473" spans="12:12" x14ac:dyDescent="0.25">
      <c r="L473" s="30" t="str">
        <f t="shared" si="8"/>
        <v/>
      </c>
    </row>
    <row r="474" spans="12:12" x14ac:dyDescent="0.25">
      <c r="L474" s="30" t="str">
        <f t="shared" si="8"/>
        <v/>
      </c>
    </row>
    <row r="475" spans="12:12" x14ac:dyDescent="0.25">
      <c r="L475" s="30" t="str">
        <f t="shared" si="8"/>
        <v/>
      </c>
    </row>
    <row r="476" spans="12:12" x14ac:dyDescent="0.25">
      <c r="L476" s="30" t="str">
        <f t="shared" si="8"/>
        <v/>
      </c>
    </row>
    <row r="477" spans="12:12" x14ac:dyDescent="0.25">
      <c r="L477" s="30" t="str">
        <f t="shared" si="8"/>
        <v/>
      </c>
    </row>
    <row r="478" spans="12:12" x14ac:dyDescent="0.25">
      <c r="L478" s="30" t="str">
        <f t="shared" si="8"/>
        <v/>
      </c>
    </row>
    <row r="479" spans="12:12" x14ac:dyDescent="0.25">
      <c r="L479" s="30" t="str">
        <f t="shared" si="8"/>
        <v/>
      </c>
    </row>
    <row r="480" spans="12:12" x14ac:dyDescent="0.25">
      <c r="L480" s="30" t="str">
        <f t="shared" si="8"/>
        <v/>
      </c>
    </row>
    <row r="481" spans="12:12" x14ac:dyDescent="0.25">
      <c r="L481" s="30" t="str">
        <f t="shared" si="8"/>
        <v/>
      </c>
    </row>
    <row r="482" spans="12:12" x14ac:dyDescent="0.25">
      <c r="L482" s="30" t="str">
        <f t="shared" si="8"/>
        <v/>
      </c>
    </row>
    <row r="483" spans="12:12" x14ac:dyDescent="0.25">
      <c r="L483" s="30" t="str">
        <f t="shared" si="8"/>
        <v/>
      </c>
    </row>
    <row r="484" spans="12:12" x14ac:dyDescent="0.25">
      <c r="L484" s="30" t="str">
        <f t="shared" si="8"/>
        <v/>
      </c>
    </row>
    <row r="485" spans="12:12" x14ac:dyDescent="0.25">
      <c r="L485" s="30" t="str">
        <f t="shared" si="8"/>
        <v/>
      </c>
    </row>
    <row r="486" spans="12:12" x14ac:dyDescent="0.25">
      <c r="L486" s="30" t="str">
        <f t="shared" si="8"/>
        <v/>
      </c>
    </row>
    <row r="487" spans="12:12" x14ac:dyDescent="0.25">
      <c r="L487" s="30" t="str">
        <f t="shared" si="8"/>
        <v/>
      </c>
    </row>
    <row r="488" spans="12:12" x14ac:dyDescent="0.25">
      <c r="L488" s="30" t="str">
        <f t="shared" si="8"/>
        <v/>
      </c>
    </row>
    <row r="489" spans="12:12" x14ac:dyDescent="0.25">
      <c r="L489" s="30" t="str">
        <f t="shared" si="8"/>
        <v/>
      </c>
    </row>
    <row r="490" spans="12:12" x14ac:dyDescent="0.25">
      <c r="L490" s="30" t="str">
        <f t="shared" si="8"/>
        <v/>
      </c>
    </row>
    <row r="491" spans="12:12" x14ac:dyDescent="0.25">
      <c r="L491" s="30" t="str">
        <f t="shared" si="8"/>
        <v/>
      </c>
    </row>
    <row r="492" spans="12:12" x14ac:dyDescent="0.25">
      <c r="L492" s="30" t="str">
        <f t="shared" si="8"/>
        <v/>
      </c>
    </row>
    <row r="493" spans="12:12" x14ac:dyDescent="0.25">
      <c r="L493" s="30" t="str">
        <f t="shared" si="8"/>
        <v/>
      </c>
    </row>
    <row r="494" spans="12:12" x14ac:dyDescent="0.25">
      <c r="L494" s="30" t="str">
        <f t="shared" si="8"/>
        <v/>
      </c>
    </row>
    <row r="495" spans="12:12" x14ac:dyDescent="0.25">
      <c r="L495" s="30" t="str">
        <f t="shared" si="8"/>
        <v/>
      </c>
    </row>
    <row r="496" spans="12:12" x14ac:dyDescent="0.25">
      <c r="L496" s="30" t="str">
        <f t="shared" si="8"/>
        <v/>
      </c>
    </row>
    <row r="497" spans="12:12" x14ac:dyDescent="0.25">
      <c r="L497" s="30" t="str">
        <f t="shared" si="8"/>
        <v/>
      </c>
    </row>
    <row r="498" spans="12:12" x14ac:dyDescent="0.25">
      <c r="L498" s="30" t="str">
        <f t="shared" si="8"/>
        <v/>
      </c>
    </row>
    <row r="499" spans="12:12" x14ac:dyDescent="0.25">
      <c r="L499" s="30" t="str">
        <f t="shared" si="8"/>
        <v/>
      </c>
    </row>
    <row r="500" spans="12:12" x14ac:dyDescent="0.25">
      <c r="L500" s="30" t="str">
        <f t="shared" si="8"/>
        <v/>
      </c>
    </row>
  </sheetData>
  <sheetProtection sheet="1" objects="1" scenarios="1" selectLockedCells="1"/>
  <mergeCells count="38">
    <mergeCell ref="A1:B1"/>
    <mergeCell ref="G14:H14"/>
    <mergeCell ref="G16:J16"/>
    <mergeCell ref="C15:D15"/>
    <mergeCell ref="C16:D16"/>
    <mergeCell ref="G7:I8"/>
    <mergeCell ref="B11:D11"/>
    <mergeCell ref="B9:D9"/>
    <mergeCell ref="B10:D10"/>
    <mergeCell ref="C37:D37"/>
    <mergeCell ref="C38:D38"/>
    <mergeCell ref="B3:D3"/>
    <mergeCell ref="B4:D4"/>
    <mergeCell ref="B5:D5"/>
    <mergeCell ref="B7:D7"/>
    <mergeCell ref="B8:D8"/>
    <mergeCell ref="C36:D36"/>
    <mergeCell ref="C26:D26"/>
    <mergeCell ref="C28:D28"/>
    <mergeCell ref="C24:D24"/>
    <mergeCell ref="C25:D25"/>
    <mergeCell ref="C13:D13"/>
    <mergeCell ref="C14:D14"/>
    <mergeCell ref="C17:D17"/>
    <mergeCell ref="C18:D18"/>
    <mergeCell ref="F32:F35"/>
    <mergeCell ref="C23:D23"/>
    <mergeCell ref="C30:D30"/>
    <mergeCell ref="C32:D32"/>
    <mergeCell ref="C33:D33"/>
    <mergeCell ref="C34:D34"/>
    <mergeCell ref="C35:D35"/>
    <mergeCell ref="C19:D19"/>
    <mergeCell ref="G17:H17"/>
    <mergeCell ref="G25:H25"/>
    <mergeCell ref="G24:H24"/>
    <mergeCell ref="G29:H29"/>
    <mergeCell ref="F28:F30"/>
  </mergeCells>
  <conditionalFormatting sqref="L4:L500">
    <cfRule type="containsText" dxfId="3" priority="1" operator="containsText" text="*nach*">
      <formula>NOT(ISERROR(SEARCH("*nach*",L4)))</formula>
    </cfRule>
    <cfRule type="containsText" dxfId="2" priority="2" operator="containsText" text="*aus*">
      <formula>NOT(ISERROR(SEARCH("*aus*",L4)))</formula>
    </cfRule>
  </conditionalFormatting>
  <dataValidations count="4">
    <dataValidation type="list" allowBlank="1" showInputMessage="1" showErrorMessage="1" sqref="C14" xr:uid="{00000000-0002-0000-0800-000000000000}">
      <formula1>"AOK,BEK,DAK,KKH"</formula1>
    </dataValidation>
    <dataValidation type="list" allowBlank="1" showInputMessage="1" showErrorMessage="1" sqref="C16" xr:uid="{00000000-0002-0000-0800-000001000000}">
      <formula1>"ja,nein"</formula1>
    </dataValidation>
    <dataValidation type="list" allowBlank="1" showInputMessage="1" showErrorMessage="1" error="Bitte nur Zahlen von 1-6 eingeben." sqref="C17:D17" xr:uid="{00000000-0002-0000-0800-000002000000}">
      <formula1>"1,2,3,4,5,6"</formula1>
    </dataValidation>
    <dataValidation type="list" allowBlank="1" showInputMessage="1" showErrorMessage="1" error="Bitte ja oder nein eingeben." sqref="C29" xr:uid="{00000000-0002-0000-0800-000003000000}">
      <formula1>"ja,nein"</formula1>
    </dataValidation>
  </dataValidations>
  <pageMargins left="0.70866141732283472" right="0.70866141732283472" top="0.78740157480314965" bottom="0.78740157480314965" header="0.31496062992125984" footer="0.31496062992125984"/>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Erklärung</vt:lpstr>
      <vt:lpstr>GH_Gesamt</vt:lpstr>
      <vt:lpstr>LSt-Anm</vt:lpstr>
      <vt:lpstr>BN AOK</vt:lpstr>
      <vt:lpstr>BN BEK</vt:lpstr>
      <vt:lpstr>BN DAK</vt:lpstr>
      <vt:lpstr>BN KKH</vt:lpstr>
      <vt:lpstr>Start</vt:lpstr>
      <vt:lpstr>MA01</vt:lpstr>
      <vt:lpstr>MA02</vt:lpstr>
      <vt:lpstr>Ende</vt:lpstr>
      <vt:lpstr>Beitragssätze SV</vt:lpstr>
    </vt:vector>
  </TitlesOfParts>
  <Company>THS Reutlingen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Schuh</dc:creator>
  <cp:lastModifiedBy>Sabine Schuh</cp:lastModifiedBy>
  <cp:lastPrinted>2019-02-10T13:43:34Z</cp:lastPrinted>
  <dcterms:created xsi:type="dcterms:W3CDTF">2017-11-17T11:14:11Z</dcterms:created>
  <dcterms:modified xsi:type="dcterms:W3CDTF">2020-02-03T21:42:27Z</dcterms:modified>
</cp:coreProperties>
</file>